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45326209\Downloads\"/>
    </mc:Choice>
  </mc:AlternateContent>
  <xr:revisionPtr revIDLastSave="0" documentId="8_{BF853AAB-0420-4E82-A480-2D8EB75C6DBB}" xr6:coauthVersionLast="47" xr6:coauthVersionMax="47" xr10:uidLastSave="{00000000-0000-0000-0000-000000000000}"/>
  <bookViews>
    <workbookView xWindow="-110" yWindow="-110" windowWidth="19420" windowHeight="10560" tabRatio="879" firstSheet="1"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Overview" sheetId="24" r:id="rId10"/>
    <sheet name="D.Residential" sheetId="25" r:id="rId11"/>
    <sheet name="D.Covered bonds" sheetId="26" r:id="rId12"/>
    <sheet name="D. Insert Nat Trans Templ" sheetId="14" r:id="rId13"/>
    <sheet name="E. Optional ECB-ECAIs data" sheetId="18" r:id="rId14"/>
    <sheet name="F1. Sustainable M data" sheetId="19" r:id="rId15"/>
    <sheet name="G1. Crisis M Payment Holidays" sheetId="22" r:id="rId16"/>
    <sheet name="E.g. General" sheetId="15" r:id="rId17"/>
    <sheet name="E.g. Other" sheetId="16" r:id="rId18"/>
    <sheet name="Z. Calculations" sheetId="23" r:id="rId19"/>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VERAGE_CURRENT_INDEXED_LTV">'Z. Calculations'!$C$149</definedName>
    <definedName name="AVERAGE_CURRENT_UNINDEXED_LTV">'Z. Calculations'!$C$148</definedName>
    <definedName name="AVERAGE_REMAINING_TERM">'Z. Calculations'!$C$215</definedName>
    <definedName name="AVERAGE_SEASONING">'Z. Calculations'!$C$214</definedName>
    <definedName name="BONDS_AMOUNT">'Z. Calculations'!$C$154</definedName>
    <definedName name="BONDS_AMOUNT_CHF">'Z. Calculations'!$C$156</definedName>
    <definedName name="BONDS_AMOUNT_EUR">'Z. Calculations'!$C$155</definedName>
    <definedName name="BONDS_AMOUNT_EXPIRE_0_1_AN">'Z. Calculations'!$C$187</definedName>
    <definedName name="BONDS_AMOUNT_EXPIRE_1_2_ANS">'Z. Calculations'!$C$188</definedName>
    <definedName name="BONDS_AMOUNT_EXPIRE_2_3_ANS">'Z. Calculations'!$C$189</definedName>
    <definedName name="BONDS_AMOUNT_EXPIRE_3_4_ANS">'Z. Calculations'!$C$190</definedName>
    <definedName name="BONDS_AMOUNT_EXPIRE_4_5_ANS">'Z. Calculations'!$C$191</definedName>
    <definedName name="BONDS_AMOUNT_EXPIRE_5_10_ANS">'Z. Calculations'!$C$192</definedName>
    <definedName name="BONDS_AMOUNT_EXPIRE_APRES_10_ANS">'Z. Calculations'!$C$193</definedName>
    <definedName name="BONDS_AMOUNT_SOFT_BULLET_EXPIRE_0_1_AN">'Z. Calculations'!$C$195</definedName>
    <definedName name="BONDS_AMOUNT_SOFT_BULLET_EXPIRE_1_2_ANS">'Z. Calculations'!$C$196</definedName>
    <definedName name="BONDS_AMOUNT_SOFT_BULLET_EXPIRE_2_3_ANS">'Z. Calculations'!$C$197</definedName>
    <definedName name="BONDS_AMOUNT_SOFT_BULLET_EXPIRE_3_4_ANS">'Z. Calculations'!$C$198</definedName>
    <definedName name="BONDS_AMOUNT_SOFT_BULLET_EXPIRE_4_5_ANS">'Z. Calculations'!$C$199</definedName>
    <definedName name="BONDS_AMOUNT_SOFT_BULLET_EXPIRE_5_10_ANS">'Z. Calculations'!$C$200</definedName>
    <definedName name="BONDS_AMOUNT_SOFT_BULLET_EXPIRE_APRES_10_ANS">'Z. Calculations'!$C$201</definedName>
    <definedName name="BONDS_EMIS_ANNEE_N">'Z. Calculations'!$C$203</definedName>
    <definedName name="BONDS_EMIS_ANNEE_N_MOINS_DEUX">'Z. Calculations'!$C$205</definedName>
    <definedName name="BONDS_EMIS_ANNEE_N_MOINS_TROIS">'Z. Calculations'!$C$206</definedName>
    <definedName name="BONDS_EMIS_ANNEE_N_MOINS_UN">'Z. Calculations'!$C$204</definedName>
    <definedName name="BONDS_EXTENDED_MATURITY_YEARS">'Z. Calculations'!$C$185</definedName>
    <definedName name="CORE_TIER1_RATIO">'Z. Calculations'!$C$217</definedName>
    <definedName name="COVID19_NBE_PRETS">'Z. Calculations'!$C$222</definedName>
    <definedName name="COVID19_NOMINAL">'Z. Calculations'!$C$221</definedName>
    <definedName name="CRD_PRET_REMBOURSEMENT_AUTRE">'Z. Calculations'!$C$179</definedName>
    <definedName name="CRD_PRET_REMBOURSEMENT_ECHEANCES_CONSTANTES">'Z. Calculations'!$C$178</definedName>
    <definedName name="CRD_PRET_REMBOURSEMENT_IN_FINE">'Z. Calculations'!$C$177</definedName>
    <definedName name="CRD_PRETS__0_INDEXED_LTV_40">'Z. Calculations'!$C$75</definedName>
    <definedName name="CRD_PRETS__0_UNINDEXED_LTV_40">'Z. Calculations'!$C$48</definedName>
    <definedName name="CRD_PRETS__10_LARGEST_EXPOSURES">'Z. Calculations'!$C$146</definedName>
    <definedName name="CRD_PRETS__100_INDEXED_LTV_105">'Z. Calculations'!$C$84</definedName>
    <definedName name="CRD_PRETS__100_UNINDEXED_LTV_105">'Z. Calculations'!$C$57</definedName>
    <definedName name="CRD_PRETS__105_INDEXED_LTV">'Z. Calculations'!$C$87</definedName>
    <definedName name="CRD_PRETS__105_INDEXED_LTV_110">'Z. Calculations'!$C$85</definedName>
    <definedName name="CRD_PRETS__105_UNINDEXED_LTV">'Z. Calculations'!$C$60</definedName>
    <definedName name="CRD_PRETS__105_UNINDEXED_LTV_110">'Z. Calculations'!$C$58</definedName>
    <definedName name="CRD_PRETS__110_INDEXED_LTV_115">'Z. Calculations'!$C$86</definedName>
    <definedName name="CRD_PRETS__110_UNINDEXED_LTV_115">'Z. Calculations'!$C$59</definedName>
    <definedName name="CRD_PRETS__115_INDEXED_LTV">'Z. Calculations'!$C$88</definedName>
    <definedName name="CRD_PRETS__115_UNINDEXED_LTV">'Z. Calculations'!$C$61</definedName>
    <definedName name="CRD_PRETS__40_INDEXED_LTV_50">'Z. Calculations'!$C$76</definedName>
    <definedName name="CRD_PRETS__40_UNINDEXED_LTV_50">'Z. Calculations'!$C$49</definedName>
    <definedName name="CRD_PRETS__5_LARGEST_EXPOSURES">'Z. Calculations'!$C$145</definedName>
    <definedName name="CRD_PRETS__50_INDEXED_LTV_60">'Z. Calculations'!$C$77</definedName>
    <definedName name="CRD_PRETS__50_UNINDEXED_LTV_60">'Z. Calculations'!$C$50</definedName>
    <definedName name="CRD_PRETS__60_INDEXED_LTV_70">'Z. Calculations'!$C$78</definedName>
    <definedName name="CRD_PRETS__60_UNINDEXED_LTV_70">'Z. Calculations'!$C$51</definedName>
    <definedName name="CRD_PRETS__70_INDEXED_LTV_80">'Z. Calculations'!$C$79</definedName>
    <definedName name="CRD_PRETS__70_UNINDEXED_LTV_80">'Z. Calculations'!$C$52</definedName>
    <definedName name="CRD_PRETS__80_INDEXED_LTV_85">'Z. Calculations'!$C$80</definedName>
    <definedName name="CRD_PRETS__80_UNINDEXED_LTV_85">'Z. Calculations'!$C$53</definedName>
    <definedName name="CRD_PRETS__85_INDEXED_LTV_90">'Z. Calculations'!$C$81</definedName>
    <definedName name="CRD_PRETS__85_UNINDEXED_LTV_90">'Z. Calculations'!$C$54</definedName>
    <definedName name="CRD_PRETS__90_INDEXED_LTV_95">'Z. Calculations'!$C$82</definedName>
    <definedName name="CRD_PRETS__90_UNINDEXED_LTV_95">'Z. Calculations'!$C$55</definedName>
    <definedName name="CRD_PRETS__95_INDEXED_LTV_100">'Z. Calculations'!$C$83</definedName>
    <definedName name="CRD_PRETS__95_UNINDEXED_LTV_100">'Z. Calculations'!$C$56</definedName>
    <definedName name="CRD_PRETS__GARANTIE_CREDIT_LOGEMENT">'Z. Calculations'!$C$152</definedName>
    <definedName name="CRD_PRETS__GARANTIE_HYPOTHEQUE">'Z. Calculations'!$C$151</definedName>
    <definedName name="CRD_PRETS_ELIGIBLES_PRIS_PAR_AUTRE_APPLICATION">'Z. Calculations'!$C$158</definedName>
    <definedName name="CRD_PRETS_LOAN_PURPOSE_AUTRE">'Z. Calculations'!$C$139</definedName>
    <definedName name="CRD_PRETS_LOAN_PURPOSE_LOCATION">'Z. Calculations'!$C$114</definedName>
    <definedName name="CRD_PRETS_LOAN_PURPOSE_NO_DATA">'Z. Calculations'!$C$140</definedName>
    <definedName name="CRD_PRETS_LOAN_PURPOSE_RESIDENCE_PRINCIPALE">'Z. Calculations'!$C$137</definedName>
    <definedName name="CRD_PRETS_LOAN_PURPOSE_RESIDENCE_SECONDAIRE">'Z. Calculations'!$C$138</definedName>
    <definedName name="CRD_PRETS_OCCUPANCYTYPE_OWNEROCCUPIED__TOUTES_UNINDEXED_LTV">'Z. Calculations'!$C$112</definedName>
    <definedName name="CRD_PRETS_OCCUPANCYTYPE_VACATIONSECONDHOME__TOUTES_UNINDEXED_LTV">'Z. Calculations'!$C$113</definedName>
    <definedName name="CRD_PRETS_PROFESSION_EMPRUNTEUR_A_SON_COMPTE">'Z. Calculations'!$C$132</definedName>
    <definedName name="CRD_PRETS_PROFESSION_EMPRUNTEUR_AUTRE_INACTIF">'Z. Calculations'!$C$134</definedName>
    <definedName name="CRD_PRETS_PROFESSION_EMPRUNTEUR_EMPLOYE">'Z. Calculations'!$C$130</definedName>
    <definedName name="CRD_PRETS_PROFESSION_EMPRUNTEUR_FONCTIONNAIRE">'Z. Calculations'!$C$131</definedName>
    <definedName name="CRD_PRETS_PROFESSION_EMPRUNTEUR_INCONNUE">'Z. Calculations'!$C$135</definedName>
    <definedName name="CRD_PRETS_PROFESSION_EMPRUNTEUR_RETRAITE_PENSION">'Z. Calculations'!$C$133</definedName>
    <definedName name="CRD_PRETS_RATE_TYPE_FIXERATE__TOUTES_UNINDEXED_LTV">'Z. Calculations'!$C$142</definedName>
    <definedName name="CRD_PRETS_RATE_TYPE_FLOATINGRATE__TOUTES_UNINDEXED_LTV">'Z. Calculations'!$C$143</definedName>
    <definedName name="CRD_PRETS_REGION_ALSACE">'Z. Calculations'!$C$10</definedName>
    <definedName name="CRD_PRETS_REGION_AQUITAINE">'Z. Calculations'!$C$11</definedName>
    <definedName name="CRD_PRETS_REGION_AUVERGNE">'Z. Calculations'!$C$12</definedName>
    <definedName name="CRD_PRETS_REGION_AUVERGNE_RHONE_ALPES_2016">'Z. Calculations'!$C$33</definedName>
    <definedName name="CRD_PRETS_REGION_BASSE_NORMANDIE">'Z. Calculations'!$C$13</definedName>
    <definedName name="CRD_PRETS_REGION_BOURGOGNE">'Z. Calculations'!$C$14</definedName>
    <definedName name="CRD_PRETS_REGION_BOURGOGNE_FRANCHE_COMTE_2016">'Z. Calculations'!$C$34</definedName>
    <definedName name="CRD_PRETS_REGION_BRETAGNE">'Z. Calculations'!$C$15</definedName>
    <definedName name="CRD_PRETS_REGION_BRETAGNE_2016">'Z. Calculations'!$C$35</definedName>
    <definedName name="CRD_PRETS_REGION_CENTRE">'Z. Calculations'!$C$16</definedName>
    <definedName name="CRD_PRETS_REGION_CENTRE_VAL_DE_LOIRE_2016">'Z. Calculations'!$C$36</definedName>
    <definedName name="CRD_PRETS_REGION_CHAMPAGNE_ARDENNES">'Z. Calculations'!$C$17</definedName>
    <definedName name="CRD_PRETS_REGION_CORSE">'Z. Calculations'!$C$18</definedName>
    <definedName name="CRD_PRETS_REGION_CORSE_2016">'Z. Calculations'!$C$37</definedName>
    <definedName name="CRD_PRETS_REGION_FRANCHE_COMTE">'Z. Calculations'!$C$19</definedName>
    <definedName name="CRD_PRETS_REGION_GRAND_EST_2016">'Z. Calculations'!$C$38</definedName>
    <definedName name="CRD_PRETS_REGION_HAUTE_NORMANDIE">'Z. Calculations'!$C$20</definedName>
    <definedName name="CRD_PRETS_REGION_HAUTS_DE_FRANCE_2016">'Z. Calculations'!$C$39</definedName>
    <definedName name="CRD_PRETS_REGION_ILE_DE_FRANCE">'Z. Calculations'!$C$21</definedName>
    <definedName name="CRD_PRETS_REGION_ILE_DE_FRANCE_2016">'Z. Calculations'!$C$40</definedName>
    <definedName name="CRD_PRETS_REGION_LANGUEDOC_ROUSSILLON">'Z. Calculations'!$C$22</definedName>
    <definedName name="CRD_PRETS_REGION_LIMOUSIN">'Z. Calculations'!$C$23</definedName>
    <definedName name="CRD_PRETS_REGION_LORRAINE">'Z. Calculations'!$C$24</definedName>
    <definedName name="CRD_PRETS_REGION_MIDI_PYRENEES">'Z. Calculations'!$C$25</definedName>
    <definedName name="CRD_PRETS_REGION_NORD_PAS_DE_CALAIS">'Z. Calculations'!$C$26</definedName>
    <definedName name="CRD_PRETS_REGION_NORMANDIE_2016">'Z. Calculations'!$C$41</definedName>
    <definedName name="CRD_PRETS_REGION_NOUVELLE_AQUITAINE_2016">'Z. Calculations'!$C$42</definedName>
    <definedName name="CRD_PRETS_REGION_OCCITANIE_2016">'Z. Calculations'!$C$43</definedName>
    <definedName name="CRD_PRETS_REGION_PAYS_DE_LA_LOIRE">'Z. Calculations'!$C$27</definedName>
    <definedName name="CRD_PRETS_REGION_PAYS_DE_LA_LOIRE_2016">'Z. Calculations'!$C$44</definedName>
    <definedName name="CRD_PRETS_REGION_PICARDIE">'Z. Calculations'!$C$28</definedName>
    <definedName name="CRD_PRETS_REGION_POITOU_CHARENTES">'Z. Calculations'!$C$29</definedName>
    <definedName name="CRD_PRETS_REGION_PROVENCE_ALPES_COTE_AZUR">'Z. Calculations'!$C$30</definedName>
    <definedName name="CRD_PRETS_REGION_PROVENCE_ALPES_COTE_AZUR_2016">'Z. Calculations'!$C$45</definedName>
    <definedName name="CRD_PRETS_REGION_RHONE_ALPES">'Z. Calculations'!$C$31</definedName>
    <definedName name="CRD_PRETS_SEASONING_12_24_MONTHS">'Z. Calculations'!$C$103</definedName>
    <definedName name="CRD_PRETS_SEASONING_24_36_MONTHS">'Z. Calculations'!$C$104</definedName>
    <definedName name="CRD_PRETS_SEASONING_36_48_MONTHS">'Z. Calculations'!$C$105</definedName>
    <definedName name="CRD_PRETS_SEASONING_36_60_MONTHS">'Z. Calculations'!$C$109</definedName>
    <definedName name="CRD_PRETS_SEASONING_48_60_MONTHS">'Z. Calculations'!$C$106</definedName>
    <definedName name="CRD_PRETS_SEASONING_60_120_MONTHS">'Z. Calculations'!$C$107</definedName>
    <definedName name="CRD_PRETS_SEASONING_INF_12_MONTHS">'Z. Calculations'!$C$102</definedName>
    <definedName name="CRD_PRETS_SEASONING_SUP_120_MONTHS">'Z. Calculations'!$C$108</definedName>
    <definedName name="CRD_PRETS_SEASONING_SUP_60_MONTHS">'Z. Calculations'!$C$110</definedName>
    <definedName name="CRD_PRETS_SELECTION">'Z. Calculations'!$C$8</definedName>
    <definedName name="CRD_PRETS_SELECTIONNES_SFH_ELIGIBLES_ACC">'Z. Calculations'!$C$159</definedName>
    <definedName name="CRD_PRETS_TRANCHE_0_200000">'Z. Calculations'!$C$123</definedName>
    <definedName name="CRD_PRETS_TRANCHE_200000_400000">'Z. Calculations'!$C$124</definedName>
    <definedName name="CRD_PRETS_TRANCHE_400000_600000">'Z. Calculations'!$C$125</definedName>
    <definedName name="CRD_PRETS_TRANCHE_600000_800000">'Z. Calculations'!$C$126</definedName>
    <definedName name="CRD_PRETS_TRANCHE_800000_1000000">'Z. Calculations'!$C$127</definedName>
    <definedName name="CRD_PRETS_TRANCHE_SUP_1000000">'Z. Calculations'!$C$128</definedName>
    <definedName name="general_tc" localSheetId="0">Disclaimer!$A$61</definedName>
    <definedName name="LEGAL_COVERAGE_RATIO_CURRENT">'Z. Calculations'!$C$219</definedName>
    <definedName name="LEGAL_COVERAGE_RATIO_MINIMUM">'Z. Calculations'!$C$218</definedName>
    <definedName name="LIABILITIES_EQUITY">'Z. Calculations'!$C$210</definedName>
    <definedName name="LIABILITIES_OTHER_NON_PRIVILEGED_LIABILITIES">'Z. Calculations'!$C$211</definedName>
    <definedName name="LIABILITIES_OTHER_PRIVILEGED_LIABILITIES">'Z. Calculations'!$C$212</definedName>
    <definedName name="NBE_PRETS__0_INDEXED_LTV_40">'Z. Calculations'!$C$90</definedName>
    <definedName name="NBE_PRETS__0_UNINDEXED_LTV_40">'Z. Calculations'!$C$63</definedName>
    <definedName name="NBE_PRETS__100_INDEXED_LTV_105">'Z. Calculations'!$C$99</definedName>
    <definedName name="NBE_PRETS__100_UNINDEXED_LTV_105">'Z. Calculations'!$C$72</definedName>
    <definedName name="NBE_PRETS__105_INDEXED_LTV">'Z. Calculations'!$C$100</definedName>
    <definedName name="NBE_PRETS__105_UNINDEXED_LTV">'Z. Calculations'!$C$73</definedName>
    <definedName name="NBE_PRETS__40_INDEXED_LTV_50">'Z. Calculations'!$C$91</definedName>
    <definedName name="NBE_PRETS__40_UNINDEXED_LTV_50">'Z. Calculations'!$C$64</definedName>
    <definedName name="NBE_PRETS__50_INDEXED_LTV_60">'Z. Calculations'!$C$92</definedName>
    <definedName name="NBE_PRETS__50_UNINDEXED_LTV_60">'Z. Calculations'!$C$65</definedName>
    <definedName name="NBE_PRETS__60_INDEXED_LTV_70">'Z. Calculations'!$C$93</definedName>
    <definedName name="NBE_PRETS__60_UNINDEXED_LTV_70">'Z. Calculations'!$C$66</definedName>
    <definedName name="NBE_PRETS__70_INDEXED_LTV_80">'Z. Calculations'!$C$94</definedName>
    <definedName name="NBE_PRETS__70_UNINDEXED_LTV_80">'Z. Calculations'!$C$67</definedName>
    <definedName name="NBE_PRETS__80_INDEXED_LTV_85">'Z. Calculations'!$C$95</definedName>
    <definedName name="NBE_PRETS__80_UNINDEXED_LTV_85">'Z. Calculations'!$C$68</definedName>
    <definedName name="NBE_PRETS__85_INDEXED_LTV_90">'Z. Calculations'!$C$96</definedName>
    <definedName name="NBE_PRETS__85_UNINDEXED_LTV_90">'Z. Calculations'!$C$69</definedName>
    <definedName name="NBE_PRETS__90_INDEXED_LTV_95">'Z. Calculations'!$C$97</definedName>
    <definedName name="NBE_PRETS__90_UNINDEXED_LTV_95">'Z. Calculations'!$C$70</definedName>
    <definedName name="NBE_PRETS__95_INDEXED_LTV_100">'Z. Calculations'!$C$98</definedName>
    <definedName name="NBE_PRETS__95_UNINDEXED_LTV_100">'Z. Calculations'!$C$71</definedName>
    <definedName name="NBE_PRETS_SELECTION">'Z. Calculations'!$C$7</definedName>
    <definedName name="NBE_PRETS_TRANCHE_0_200000">'Z. Calculations'!$C$116</definedName>
    <definedName name="NBE_PRETS_TRANCHE_200000_400000">'Z. Calculations'!$C$117</definedName>
    <definedName name="NBE_PRETS_TRANCHE_400000_600000">'Z. Calculations'!$C$118</definedName>
    <definedName name="NBE_PRETS_TRANCHE_600000_800000">'Z. Calculations'!$C$119</definedName>
    <definedName name="NBE_PRETS_TRANCHE_800000_1000000">'Z. Calculations'!$C$120</definedName>
    <definedName name="NBE_PRETS_TRANCHE_SUP_1000000">'Z. Calculations'!$C$121</definedName>
    <definedName name="PERMITTED_INSTRUMENTS">'Z. Calculations'!$C$208</definedName>
    <definedName name="PRETS_REMBOURSEMENT_CRD_0_1_AN">'Z. Calculations'!$C$161</definedName>
    <definedName name="PRETS_REMBOURSEMENT_CRD_0_1_AN_AVEC_REMB_ANTICIPE">'Z. Calculations'!$C$169</definedName>
    <definedName name="PRETS_REMBOURSEMENT_CRD_1_2_ANS">'Z. Calculations'!$C$162</definedName>
    <definedName name="PRETS_REMBOURSEMENT_CRD_1_2_ANS_AVEC_REMB_ANTICIPE">'Z. Calculations'!$C$170</definedName>
    <definedName name="PRETS_REMBOURSEMENT_CRD_2_3_ANS">'Z. Calculations'!$C$163</definedName>
    <definedName name="PRETS_REMBOURSEMENT_CRD_2_3_ANS_AVEC_REMB_ANTICIPE">'Z. Calculations'!$C$171</definedName>
    <definedName name="PRETS_REMBOURSEMENT_CRD_3_4_ANS">'Z. Calculations'!$C$164</definedName>
    <definedName name="PRETS_REMBOURSEMENT_CRD_3_4_ANS_AVEC_REMB_ANTICIPE">'Z. Calculations'!$C$172</definedName>
    <definedName name="PRETS_REMBOURSEMENT_CRD_4_5_ANS">'Z. Calculations'!$C$165</definedName>
    <definedName name="PRETS_REMBOURSEMENT_CRD_4_5_ANS_AVEC_REMB_ANTICIPE">'Z. Calculations'!$C$173</definedName>
    <definedName name="PRETS_REMBOURSEMENT_CRD_5_10_ANS">'Z. Calculations'!$C$166</definedName>
    <definedName name="PRETS_REMBOURSEMENT_CRD_5_10_ANS_AVEC_REMB_ANTICIPE">'Z. Calculations'!$C$174</definedName>
    <definedName name="PRETS_REMBOURSEMENT_CRD_APRES_10_ANS">'Z. Calculations'!$C$167</definedName>
    <definedName name="PRETS_REMBOURSEMENT_CRD_APRES_10_ANS_AVEC_REMB_ANTICIPE">'Z. Calculations'!$C$175</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1">'D.Covered bonds'!$A$1:$I$41</definedName>
    <definedName name="_xlnm.Print_Area" localSheetId="9">D.Overview!$A$1:$K$181</definedName>
    <definedName name="_xlnm.Print_Area" localSheetId="10">D.Residential!$A$1:$M$191</definedName>
    <definedName name="_xlnm.Print_Area" localSheetId="0">Disclaimer!$A$1:$A$170</definedName>
    <definedName name="_xlnm.Print_Area" localSheetId="13">'E. Optional ECB-ECAIs data'!$A$1:$G$40</definedName>
    <definedName name="_xlnm.Print_Area" localSheetId="14">'F1. Sustainable M data'!$A$1:$G$34</definedName>
    <definedName name="_xlnm.Print_Area" localSheetId="3">FAQ!$A$1:$C$28</definedName>
    <definedName name="_xlnm.Print_Area" localSheetId="15">'G1. Crisis M Payment Holidays'!$A$1:$H$32</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REPORTING_DATE">'Z. Calculations'!$C$5</definedName>
    <definedName name="WAL_BONDS_CONTRACTUAL_YEARS">'Z. Calculations'!$C$183</definedName>
    <definedName name="WAL_BONDS_YEARS">'Z. Calculations'!$C$184</definedName>
    <definedName name="WAL_CONTRACTUAL_YEARS">'Z. Calculations'!$C$181</definedName>
    <definedName name="WAL_EXPECTED_YEARS">'Z. Calculations'!$C$182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6" l="1"/>
  <c r="E84" i="24" l="1"/>
  <c r="C175" i="23"/>
  <c r="C174" i="23"/>
  <c r="C173" i="23"/>
  <c r="C172" i="23"/>
  <c r="C171" i="23"/>
  <c r="C170" i="23"/>
  <c r="C169" i="23"/>
  <c r="D122" i="24"/>
  <c r="D61" i="24" l="1"/>
  <c r="G16" i="26" l="1"/>
  <c r="C76" i="18" l="1"/>
  <c r="C75" i="18"/>
  <c r="C20" i="18"/>
  <c r="C18" i="18"/>
  <c r="G41" i="26"/>
  <c r="F41" i="26"/>
  <c r="E41" i="26"/>
  <c r="D41" i="26"/>
  <c r="G31" i="26"/>
  <c r="F29" i="26"/>
  <c r="F31" i="26" s="1"/>
  <c r="E31" i="26"/>
  <c r="D29" i="26"/>
  <c r="D31" i="26" s="1"/>
  <c r="G19" i="26"/>
  <c r="G21" i="26" s="1"/>
  <c r="G24" i="26" s="1"/>
  <c r="F19" i="26"/>
  <c r="F21" i="26" s="1"/>
  <c r="F24" i="26" s="1"/>
  <c r="E16" i="26"/>
  <c r="D16" i="26"/>
  <c r="D19" i="26" s="1"/>
  <c r="D21" i="26" s="1"/>
  <c r="D24" i="26" s="1"/>
  <c r="G14" i="26"/>
  <c r="F14" i="26"/>
  <c r="D14" i="26"/>
  <c r="E14" i="26"/>
  <c r="C4" i="26"/>
  <c r="E166" i="25"/>
  <c r="D166" i="25"/>
  <c r="C166" i="25"/>
  <c r="E165" i="25"/>
  <c r="D165" i="25"/>
  <c r="C165" i="25"/>
  <c r="E164" i="25"/>
  <c r="D164" i="25"/>
  <c r="C164" i="25"/>
  <c r="E163" i="25"/>
  <c r="D163" i="25"/>
  <c r="C163" i="25"/>
  <c r="E162" i="25"/>
  <c r="D162" i="25"/>
  <c r="C162" i="25"/>
  <c r="E161" i="25"/>
  <c r="D161" i="25"/>
  <c r="C161" i="25"/>
  <c r="D158" i="25"/>
  <c r="D157" i="25"/>
  <c r="D154" i="25"/>
  <c r="D153" i="25"/>
  <c r="D148" i="25"/>
  <c r="D147" i="25"/>
  <c r="D146" i="25"/>
  <c r="D145" i="25"/>
  <c r="D144" i="25"/>
  <c r="D143" i="25"/>
  <c r="C116" i="25"/>
  <c r="C115" i="25"/>
  <c r="C114" i="25"/>
  <c r="C113" i="25"/>
  <c r="C112" i="25"/>
  <c r="C106" i="25"/>
  <c r="C105" i="25"/>
  <c r="C104" i="25"/>
  <c r="C103" i="25"/>
  <c r="C102" i="25"/>
  <c r="E95" i="25"/>
  <c r="E96" i="25" s="1"/>
  <c r="E93" i="25"/>
  <c r="E94" i="25" s="1"/>
  <c r="D86" i="25"/>
  <c r="D85" i="25"/>
  <c r="D84" i="25"/>
  <c r="D83" i="25"/>
  <c r="D82" i="25"/>
  <c r="D81" i="25"/>
  <c r="D80" i="25"/>
  <c r="D79" i="25"/>
  <c r="D78" i="25"/>
  <c r="D77" i="25"/>
  <c r="D76" i="25"/>
  <c r="D75" i="25"/>
  <c r="D74" i="25"/>
  <c r="D71" i="25"/>
  <c r="D51" i="25"/>
  <c r="D66" i="25"/>
  <c r="D65" i="25"/>
  <c r="D64" i="25"/>
  <c r="D63" i="25"/>
  <c r="D62" i="25"/>
  <c r="D61" i="25"/>
  <c r="D60" i="25"/>
  <c r="D59" i="25"/>
  <c r="D58" i="25"/>
  <c r="D57" i="25"/>
  <c r="D56" i="25"/>
  <c r="D55" i="25"/>
  <c r="D54" i="25"/>
  <c r="D42" i="25"/>
  <c r="D41" i="25"/>
  <c r="D40" i="25"/>
  <c r="D39" i="25"/>
  <c r="D38" i="25"/>
  <c r="D37" i="25"/>
  <c r="D36" i="25"/>
  <c r="D35" i="25"/>
  <c r="D34" i="25"/>
  <c r="D33" i="25"/>
  <c r="D32" i="25"/>
  <c r="D31" i="25"/>
  <c r="D30" i="25"/>
  <c r="C4" i="25"/>
  <c r="D28" i="24"/>
  <c r="D27" i="24"/>
  <c r="D166" i="24"/>
  <c r="J141" i="24"/>
  <c r="I141" i="24"/>
  <c r="H141" i="24"/>
  <c r="G141" i="24"/>
  <c r="F141" i="24"/>
  <c r="E141" i="24"/>
  <c r="D141" i="24"/>
  <c r="J139" i="24"/>
  <c r="I139" i="24"/>
  <c r="H139" i="24"/>
  <c r="G139" i="24"/>
  <c r="F139" i="24"/>
  <c r="E139" i="24"/>
  <c r="D139" i="24"/>
  <c r="J134" i="24"/>
  <c r="I134" i="24"/>
  <c r="H134" i="24"/>
  <c r="G134" i="24"/>
  <c r="F134" i="24"/>
  <c r="E134" i="24"/>
  <c r="D134" i="24"/>
  <c r="J122" i="24"/>
  <c r="I122" i="24"/>
  <c r="H122" i="24"/>
  <c r="G122" i="24"/>
  <c r="F122" i="24"/>
  <c r="E122" i="24"/>
  <c r="E115" i="24"/>
  <c r="D115" i="24"/>
  <c r="E110" i="24"/>
  <c r="D110" i="24"/>
  <c r="E82" i="24"/>
  <c r="E79" i="24"/>
  <c r="E77" i="24"/>
  <c r="C61" i="24"/>
  <c r="E55" i="24"/>
  <c r="F51" i="24"/>
  <c r="F53" i="24" s="1"/>
  <c r="C4" i="24"/>
  <c r="C167" i="25" l="1"/>
  <c r="D167" i="25"/>
  <c r="E167" i="25"/>
  <c r="E19" i="26"/>
  <c r="E21" i="26" s="1"/>
  <c r="E24" i="26" s="1"/>
  <c r="E51" i="24"/>
  <c r="E53" i="24" s="1"/>
  <c r="E10" i="5"/>
  <c r="E9" i="5"/>
  <c r="D168" i="24"/>
  <c r="I140" i="24"/>
  <c r="J140" i="24"/>
  <c r="I127" i="24"/>
  <c r="H140" i="24"/>
  <c r="F140" i="24"/>
  <c r="E140" i="24"/>
  <c r="D140" i="24"/>
  <c r="J137" i="24"/>
  <c r="I137" i="24"/>
  <c r="H137" i="24"/>
  <c r="G137" i="24"/>
  <c r="F137" i="24"/>
  <c r="E137" i="24"/>
  <c r="D137" i="24"/>
  <c r="J127" i="24"/>
  <c r="G127" i="24"/>
  <c r="F127" i="24"/>
  <c r="J125" i="24"/>
  <c r="I125" i="24"/>
  <c r="H125" i="24"/>
  <c r="G125" i="24"/>
  <c r="F125" i="24"/>
  <c r="E125" i="24"/>
  <c r="D125" i="24"/>
  <c r="E113" i="24"/>
  <c r="D113" i="24"/>
  <c r="E80" i="24"/>
  <c r="C62" i="24"/>
  <c r="E81" i="24"/>
  <c r="C278" i="9"/>
  <c r="C277" i="9"/>
  <c r="C265" i="9"/>
  <c r="C262" i="9"/>
  <c r="C261" i="9"/>
  <c r="C260" i="9"/>
  <c r="D248" i="9"/>
  <c r="D247" i="9"/>
  <c r="D246" i="9"/>
  <c r="D245" i="9"/>
  <c r="D244" i="9"/>
  <c r="D243" i="9"/>
  <c r="D242" i="9"/>
  <c r="D241" i="9"/>
  <c r="C248" i="9"/>
  <c r="C247" i="9"/>
  <c r="C246" i="9"/>
  <c r="C245" i="9"/>
  <c r="C244" i="9"/>
  <c r="C243" i="9"/>
  <c r="C242" i="9"/>
  <c r="C241" i="9"/>
  <c r="C238" i="9"/>
  <c r="D226" i="9"/>
  <c r="D225" i="9"/>
  <c r="D224" i="9"/>
  <c r="D223" i="9"/>
  <c r="D222" i="9"/>
  <c r="D221" i="9"/>
  <c r="D220" i="9"/>
  <c r="D219" i="9"/>
  <c r="C226" i="9"/>
  <c r="C225" i="9"/>
  <c r="C224" i="9"/>
  <c r="C223" i="9"/>
  <c r="C222" i="9"/>
  <c r="C221" i="9"/>
  <c r="C220" i="9"/>
  <c r="C219" i="9"/>
  <c r="C216" i="9"/>
  <c r="D195" i="9"/>
  <c r="C195" i="9"/>
  <c r="D194" i="9"/>
  <c r="C194" i="9"/>
  <c r="D193" i="9"/>
  <c r="C193" i="9"/>
  <c r="D192" i="9"/>
  <c r="C192" i="9"/>
  <c r="D191" i="9"/>
  <c r="C191" i="9"/>
  <c r="D190" i="9"/>
  <c r="C190" i="9"/>
  <c r="D187" i="9"/>
  <c r="C187" i="9"/>
  <c r="C174" i="9"/>
  <c r="C173" i="9"/>
  <c r="C172" i="9"/>
  <c r="C171" i="9"/>
  <c r="C170" i="9"/>
  <c r="C161" i="9"/>
  <c r="C160" i="9"/>
  <c r="C151" i="9"/>
  <c r="C150" i="9"/>
  <c r="C111" i="9"/>
  <c r="C110" i="9"/>
  <c r="C109" i="9"/>
  <c r="C108" i="9"/>
  <c r="C107" i="9"/>
  <c r="C106" i="9"/>
  <c r="C105" i="9"/>
  <c r="C104" i="9"/>
  <c r="C103" i="9"/>
  <c r="C102" i="9"/>
  <c r="C101" i="9"/>
  <c r="C100" i="9"/>
  <c r="C99" i="9"/>
  <c r="C36" i="9"/>
  <c r="C28" i="9"/>
  <c r="C12" i="9"/>
  <c r="C217" i="8"/>
  <c r="C193" i="8"/>
  <c r="C174" i="8"/>
  <c r="C142" i="8"/>
  <c r="D142" i="8" s="1"/>
  <c r="C138" i="8"/>
  <c r="D138" i="8" s="1"/>
  <c r="C112" i="8"/>
  <c r="D112" i="8" s="1"/>
  <c r="C99" i="8"/>
  <c r="C98" i="8"/>
  <c r="C97" i="8"/>
  <c r="C96" i="8"/>
  <c r="C95" i="8"/>
  <c r="C94" i="8"/>
  <c r="C93" i="8"/>
  <c r="D89" i="8"/>
  <c r="C89" i="8"/>
  <c r="D76" i="8"/>
  <c r="D75" i="8"/>
  <c r="D74" i="8"/>
  <c r="D73" i="8"/>
  <c r="D72" i="8"/>
  <c r="D71" i="8"/>
  <c r="D70" i="8"/>
  <c r="C76" i="8"/>
  <c r="C75" i="8"/>
  <c r="C74" i="8"/>
  <c r="C73" i="8"/>
  <c r="C72" i="8"/>
  <c r="C71" i="8"/>
  <c r="C70" i="8"/>
  <c r="D66" i="8"/>
  <c r="C66" i="8"/>
  <c r="C56" i="8"/>
  <c r="C53" i="8"/>
  <c r="F45" i="8"/>
  <c r="C39" i="8"/>
  <c r="C38" i="8"/>
  <c r="C17" i="8"/>
  <c r="B45" i="23"/>
  <c r="B44" i="23"/>
  <c r="B43" i="23"/>
  <c r="B42" i="23"/>
  <c r="B41" i="23"/>
  <c r="B40" i="23"/>
  <c r="B39" i="23"/>
  <c r="B38" i="23"/>
  <c r="B37" i="23"/>
  <c r="B36" i="23"/>
  <c r="B35" i="23"/>
  <c r="B34" i="23"/>
  <c r="B33" i="23"/>
  <c r="B31" i="23"/>
  <c r="B30" i="23"/>
  <c r="B29" i="23"/>
  <c r="B28" i="23"/>
  <c r="B27" i="23"/>
  <c r="B26" i="23"/>
  <c r="B25" i="23"/>
  <c r="B24" i="23"/>
  <c r="B23" i="23"/>
  <c r="B22" i="23"/>
  <c r="B21" i="23"/>
  <c r="B20" i="23"/>
  <c r="B19" i="23"/>
  <c r="B18" i="23"/>
  <c r="B17" i="23"/>
  <c r="B16" i="23"/>
  <c r="B15" i="23"/>
  <c r="B14" i="23"/>
  <c r="B13" i="23"/>
  <c r="B12" i="23"/>
  <c r="B11" i="23"/>
  <c r="B10" i="23"/>
  <c r="B2" i="23"/>
  <c r="E127" i="24" l="1"/>
  <c r="G140" i="24"/>
  <c r="D169" i="24"/>
  <c r="E83" i="24"/>
  <c r="D127" i="24"/>
  <c r="H127" i="24"/>
  <c r="D367" i="19" l="1"/>
  <c r="G355" i="19" s="1"/>
  <c r="C367" i="19"/>
  <c r="F355" i="19" s="1"/>
  <c r="D346" i="9"/>
  <c r="C346" i="9"/>
  <c r="C585" i="9"/>
  <c r="D585" i="9"/>
  <c r="D45" i="8"/>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68" i="19" l="1"/>
  <c r="G343"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321" i="9" l="1"/>
  <c r="G323" i="9"/>
  <c r="G325" i="9"/>
  <c r="G327" i="9"/>
  <c r="G312" i="9"/>
  <c r="G314" i="9"/>
  <c r="G316" i="9"/>
  <c r="G318" i="9"/>
  <c r="G320" i="9"/>
  <c r="G311" i="9"/>
  <c r="G313" i="9"/>
  <c r="G315" i="9"/>
  <c r="G317" i="9"/>
  <c r="G319" i="9"/>
  <c r="G310" i="9"/>
  <c r="G328" i="9" s="1"/>
  <c r="G322" i="9"/>
  <c r="G324" i="9"/>
  <c r="G326" i="9"/>
  <c r="F311" i="9"/>
  <c r="F313" i="9"/>
  <c r="F315" i="9"/>
  <c r="F317" i="9"/>
  <c r="F319" i="9"/>
  <c r="F321" i="9"/>
  <c r="F323" i="9"/>
  <c r="F325" i="9"/>
  <c r="F322" i="9"/>
  <c r="F324" i="9"/>
  <c r="F326" i="9"/>
  <c r="F312" i="9"/>
  <c r="F328" i="9" s="1"/>
  <c r="F314" i="9"/>
  <c r="F316" i="9"/>
  <c r="F318" i="9"/>
  <c r="F320" i="9"/>
  <c r="F310" i="9"/>
  <c r="F327" i="9"/>
  <c r="G596" i="19"/>
  <c r="G599" i="19"/>
  <c r="G601" i="19"/>
  <c r="G598" i="19"/>
  <c r="G600" i="19"/>
  <c r="F370" i="9"/>
  <c r="F591" i="19"/>
  <c r="F599" i="19"/>
  <c r="F601" i="19"/>
  <c r="F600" i="19"/>
  <c r="F597" i="19"/>
  <c r="F59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3" i="8"/>
  <c r="C295" i="8"/>
  <c r="D307" i="8"/>
  <c r="D291" i="8"/>
  <c r="D295"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C156" i="8"/>
  <c r="C164" i="8" s="1"/>
  <c r="C167" i="8" s="1"/>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jean.francois.amiot@hsbc.fr</author>
  </authors>
  <commentList>
    <comment ref="C160" authorId="0" shapeId="0" xr:uid="{00000000-0006-0000-0500-000001000000}">
      <text>
        <r>
          <rPr>
            <b/>
            <sz val="9"/>
            <color indexed="81"/>
            <rFont val="Tahoma"/>
            <family val="2"/>
          </rPr>
          <t>Prets dont le CRD est remboursé In Fine.</t>
        </r>
      </text>
    </comment>
    <comment ref="C161" authorId="0" shapeId="0" xr:uid="{00000000-0006-0000-0500-000002000000}">
      <text>
        <r>
          <rPr>
            <b/>
            <sz val="9"/>
            <color indexed="81"/>
            <rFont val="Tahoma"/>
            <family val="2"/>
          </rPr>
          <t>Prêts à amortissement constant.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jean.francois.amiot@hsbc.fr</author>
  </authors>
  <commentList>
    <comment ref="C61" authorId="0" shapeId="0" xr:uid="{00000000-0006-0000-0900-000001000000}">
      <text>
        <r>
          <rPr>
            <sz val="9"/>
            <color indexed="81"/>
            <rFont val="Tahoma"/>
            <family val="2"/>
          </rPr>
          <t>Base Oracle CBM.
Table REPORT_PARAMETRES.PRAM_NAME = 'LEGAL_COVERAGE_RATIO_MINIMUM'</t>
        </r>
      </text>
    </comment>
    <comment ref="D61" authorId="0" shapeId="0" xr:uid="{00000000-0006-0000-0900-000002000000}">
      <text>
        <r>
          <rPr>
            <sz val="9"/>
            <color indexed="81"/>
            <rFont val="Tahoma"/>
            <family val="2"/>
          </rPr>
          <t>Base Oracle CBM.
Table REPORT_PARAMETRES.PRAM_NAME = 'LEGAL_COVERAGE_RATIO_CURRENT'</t>
        </r>
      </text>
    </comment>
    <comment ref="E77" authorId="0" shapeId="0" xr:uid="{00000000-0006-0000-0900-000003000000}">
      <text>
        <r>
          <rPr>
            <sz val="9"/>
            <color indexed="81"/>
            <rFont val="Tahoma"/>
            <family val="2"/>
          </rPr>
          <t>Valeur provenant du report comptable trimestriel :
"3371_Brochure_Réel yyyymm_French - English_Mappé au PCEC.xlsx"
avec yyyymm = date arrêté du report HTT produit.
Cellule C27 de l'onglet "Passif".</t>
        </r>
      </text>
    </comment>
    <comment ref="E79" authorId="0" shapeId="0" xr:uid="{00000000-0006-0000-0900-000004000000}">
      <text>
        <r>
          <rPr>
            <sz val="9"/>
            <color indexed="81"/>
            <rFont val="Tahoma"/>
            <family val="2"/>
          </rPr>
          <t>Valeur provenant du report comptable trimestriel :
"3371_Brochure_Réel yyyymm_French - English_Mappé au PCEC.xlsx"
avec yyyymm = date arrêté du report HTT produit.
Somme cellules C17 + C19 + C23 de l'onglet "Passif".</t>
        </r>
      </text>
    </comment>
    <comment ref="E82" authorId="0" shapeId="0" xr:uid="{00000000-0006-0000-0900-000005000000}">
      <text>
        <r>
          <rPr>
            <sz val="9"/>
            <color indexed="81"/>
            <rFont val="Tahoma"/>
            <family val="2"/>
          </rPr>
          <t>Valeur provenant du report comptable trimestriel :
"3371_Brochure_Réel yyyymm_French - English_Mappé au PCEC.xlsx"
avec yyyymm = date arrêté du report HTT produit.
Cellule C15 de l'onglet "Passif".</t>
        </r>
      </text>
    </comment>
    <comment ref="D110" authorId="0" shapeId="0" xr:uid="{00000000-0006-0000-0900-000006000000}">
      <text>
        <r>
          <rPr>
            <sz val="9"/>
            <color indexed="81"/>
            <rFont val="Tahoma"/>
            <family val="2"/>
          </rPr>
          <t>Durée de vie moyenne des prêts (an) avec un taux de remboursement anticipé de 7%.
La durée de vie des prêts est pondérée par le CRD des prêts.</t>
        </r>
      </text>
    </comment>
    <comment ref="E110" authorId="0" shapeId="0" xr:uid="{00000000-0006-0000-0900-000007000000}">
      <text>
        <r>
          <rPr>
            <sz val="9"/>
            <color indexed="81"/>
            <rFont val="Tahoma"/>
            <family val="2"/>
          </rPr>
          <t>Durée de vie moyenne des prêts (an) sans tenir compte des remboursements anticipés.
C'est donc la date de fin contractuelle des prêts qui est prise en compte.
La durée de vie des prêts est pondérée par le CRD des prêts.</t>
        </r>
      </text>
    </comment>
    <comment ref="D115" authorId="0" shapeId="0" xr:uid="{00000000-0006-0000-0900-000008000000}">
      <text>
        <r>
          <rPr>
            <sz val="9"/>
            <color indexed="81"/>
            <rFont val="Tahoma"/>
            <family val="2"/>
          </rPr>
          <t xml:space="preserve">Durée de vie moyenne des obligations couvertes par les prêts.
</t>
        </r>
      </text>
    </comment>
    <comment ref="E115" authorId="0" shapeId="0" xr:uid="{00000000-0006-0000-0900-000009000000}">
      <text>
        <r>
          <rPr>
            <sz val="9"/>
            <color indexed="81"/>
            <rFont val="Tahoma"/>
            <family val="2"/>
          </rPr>
          <t xml:space="preserve">Durée de vie moyenne des obligations couvertes par les prêts.
</t>
        </r>
      </text>
    </comment>
    <comment ref="D166" authorId="0" shapeId="0" xr:uid="{00000000-0006-0000-0900-00000A000000}">
      <text>
        <r>
          <rPr>
            <sz val="9"/>
            <color indexed="81"/>
            <rFont val="Tahoma"/>
            <family val="2"/>
          </rPr>
          <t xml:space="preserve">JFA 12/2018.
The source of this value is CBM / N. Simulations / Autres paramètres / Valeur courante de 'Permitted Instruments' (ou trésorerie contractuelle).
The Oracle source is BONDS_VALUE.PERMITTED_INSTRUMENT.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jean.francois.amiot@hsbc.fr</author>
  </authors>
  <commentList>
    <comment ref="D11" authorId="0" shapeId="0" xr:uid="{44AB2FC5-742D-4D5C-86F9-E00F0AE4E552}">
      <text>
        <r>
          <rPr>
            <b/>
            <sz val="9"/>
            <color indexed="81"/>
            <rFont val="Tahoma"/>
            <family val="2"/>
          </rPr>
          <t>Année à changer tous les ans par OCS.
Les lignes suivantes sont calculées en dynamique.</t>
        </r>
      </text>
    </comment>
    <comment ref="E11" authorId="0" shapeId="0" xr:uid="{037C8FA0-B4C5-4C05-B369-6C6208651AA1}">
      <text>
        <r>
          <rPr>
            <b/>
            <sz val="9"/>
            <color indexed="81"/>
            <rFont val="Tahoma"/>
            <family val="2"/>
          </rPr>
          <t>Année à faire glisser tous les ans.</t>
        </r>
      </text>
    </comment>
    <comment ref="F11" authorId="0" shapeId="0" xr:uid="{11AC10EA-32D2-4798-AF8A-0A9757CAE87E}">
      <text>
        <r>
          <rPr>
            <b/>
            <sz val="9"/>
            <color indexed="81"/>
            <rFont val="Tahoma"/>
            <family val="2"/>
          </rPr>
          <t>Année à faire glisser tous les ans.</t>
        </r>
      </text>
    </comment>
    <comment ref="G11" authorId="0" shapeId="0" xr:uid="{21EA96E8-EBD2-46F5-AC4F-A8CDFC1AFDBD}">
      <text>
        <r>
          <rPr>
            <b/>
            <sz val="9"/>
            <color indexed="81"/>
            <rFont val="Tahoma"/>
            <family val="2"/>
          </rPr>
          <t>Année à faire glisser tous les ans.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jean.francois.amiot@hsbc.fr</author>
  </authors>
  <commentList>
    <comment ref="C75" authorId="0" shapeId="0" xr:uid="{00000000-0006-0000-0D00-000001000000}">
      <text>
        <r>
          <rPr>
            <sz val="9"/>
            <color indexed="81"/>
            <rFont val="Tahoma"/>
            <family val="2"/>
          </rPr>
          <t>Investor Report.</t>
        </r>
        <r>
          <rPr>
            <sz val="9"/>
            <color indexed="81"/>
            <rFont val="Tahoma"/>
            <family val="2"/>
          </rPr>
          <t xml:space="preserve">
Onglet "1.  Investor Report Overview"
Cellule D12.</t>
        </r>
      </text>
    </comment>
    <comment ref="C76" authorId="0" shapeId="0" xr:uid="{00000000-0006-0000-0D00-000002000000}">
      <text>
        <r>
          <rPr>
            <sz val="9"/>
            <color indexed="81"/>
            <rFont val="Tahoma"/>
            <family val="2"/>
          </rPr>
          <t>Investor Report.</t>
        </r>
        <r>
          <rPr>
            <sz val="9"/>
            <color indexed="81"/>
            <rFont val="Tahoma"/>
            <family val="2"/>
          </rPr>
          <t xml:space="preserve">
Onglet "1.  Investor Report Overview"
Cellule D13.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jean.francois.amiot@hsbc.fr</author>
  </authors>
  <commentList>
    <comment ref="B217" authorId="0" shapeId="0" xr:uid="{00000000-0006-0000-1200-000001000000}">
      <text>
        <r>
          <rPr>
            <sz val="9"/>
            <color indexed="81"/>
            <rFont val="Tahoma"/>
            <family val="2"/>
          </rPr>
          <t>Valeur codée en dur.</t>
        </r>
      </text>
    </comment>
  </commentList>
</comments>
</file>

<file path=xl/sharedStrings.xml><?xml version="1.0" encoding="utf-8"?>
<sst xmlns="http://schemas.openxmlformats.org/spreadsheetml/2006/main" count="6560" uniqueCount="3397">
  <si>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</si>
  <si>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</si>
  <si>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</si>
  <si>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</si>
  <si>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</si>
  <si>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</si>
  <si>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</si>
  <si>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</si>
  <si>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</si>
  <si>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</si>
  <si>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</si>
  <si>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</si>
  <si>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</si>
  <si>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</si>
  <si>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</si>
  <si>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</si>
  <si>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</si>
  <si>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</si>
  <si>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</si>
  <si>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</si>
  <si>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</si>
  <si>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</si>
  <si>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</si>
  <si>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</si>
  <si>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</si>
  <si>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</si>
  <si>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</si>
  <si>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</si>
  <si>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</si>
  <si>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</si>
  <si>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</si>
  <si>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</si>
  <si>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</si>
  <si>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</si>
  <si>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</si>
  <si>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</si>
  <si>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</si>
  <si>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</si>
  <si>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</si>
  <si>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</si>
  <si>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</si>
  <si>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</si>
  <si>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</si>
  <si>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</si>
  <si>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</si>
  <si>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</si>
  <si>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</si>
  <si>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</si>
  <si>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</si>
  <si>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</si>
  <si>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</si>
  <si>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</si>
  <si>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</si>
  <si>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</si>
  <si>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</si>
  <si>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</si>
  <si>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</si>
  <si>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</si>
  <si>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</si>
  <si>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</si>
  <si>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</si>
  <si>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</si>
  <si>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</si>
  <si>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</si>
  <si>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</si>
  <si>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</si>
  <si>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</si>
  <si>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</si>
  <si>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</si>
  <si>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</si>
  <si>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</si>
  <si>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</si>
  <si>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</si>
  <si>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</si>
  <si>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</si>
  <si>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</si>
  <si>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</si>
  <si>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</si>
  <si>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</si>
  <si>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</si>
  <si>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</si>
  <si>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</si>
  <si>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</si>
  <si>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</si>
  <si>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</si>
  <si>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</si>
  <si>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</si>
  <si>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</si>
  <si>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</si>
  <si>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</si>
  <si>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</si>
  <si>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</si>
  <si>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</si>
  <si>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</si>
  <si>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</si>
  <si>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</si>
  <si>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</si>
  <si>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</si>
  <si>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</si>
  <si>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</si>
  <si>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</si>
  <si>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</si>
  <si>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</si>
  <si>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</si>
  <si>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</si>
  <si>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</si>
  <si>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</si>
  <si>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</si>
  <si>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</si>
  <si>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</si>
  <si>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</si>
  <si>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</si>
  <si>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</si>
  <si>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</si>
  <si>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</si>
  <si>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</si>
  <si>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</si>
  <si>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</si>
  <si>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</si>
  <si>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</si>
  <si>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</si>
  <si>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</si>
  <si>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</si>
  <si>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</si>
  <si>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</si>
  <si>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</si>
  <si>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</si>
  <si>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</si>
  <si>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</si>
  <si>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</si>
  <si>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</si>
  <si>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</si>
  <si>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</si>
  <si>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</si>
  <si>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</si>
  <si>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</si>
  <si>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</si>
  <si>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</si>
  <si>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</si>
  <si>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</si>
  <si>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</si>
  <si>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</si>
  <si>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</si>
  <si>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</si>
  <si>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</si>
  <si>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</si>
  <si>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</si>
  <si>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</si>
  <si>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</si>
  <si>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</si>
  <si>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</si>
  <si>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</si>
  <si>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</si>
  <si>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</si>
  <si>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</si>
  <si>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</si>
  <si>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</si>
  <si>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</si>
  <si>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</si>
  <si>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</si>
  <si>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</si>
  <si>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</si>
  <si>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</si>
  <si>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</si>
  <si>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</si>
  <si>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</si>
  <si>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</si>
  <si>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</si>
  <si>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</si>
  <si>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</si>
  <si>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</si>
  <si>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</si>
  <si>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</si>
  <si>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</si>
  <si>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</si>
  <si>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</si>
  <si>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</si>
  <si>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</si>
  <si>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</si>
  <si>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</si>
  <si>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</si>
  <si>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</si>
  <si>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</si>
  <si>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</si>
  <si>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</si>
  <si>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</si>
  <si>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</si>
  <si>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</si>
  <si>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</si>
  <si>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</si>
  <si>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</si>
  <si>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</si>
  <si>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</si>
  <si>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</si>
  <si>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</si>
  <si>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</si>
  <si>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</si>
  <si>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</si>
  <si>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</si>
  <si>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</si>
  <si>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</si>
  <si>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</si>
  <si>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</si>
  <si>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</si>
  <si>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</si>
  <si>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</si>
  <si>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</si>
  <si>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</si>
  <si>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</si>
  <si>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</si>
  <si>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</si>
  <si>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</si>
  <si>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</si>
  <si>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</si>
  <si>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</si>
  <si>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</si>
  <si>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</si>
  <si>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</si>
  <si>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</si>
  <si>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</si>
  <si>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</si>
  <si>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</si>
  <si>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</si>
  <si>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</si>
  <si>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</si>
  <si>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</si>
  <si>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</si>
  <si>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</si>
  <si>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</si>
  <si>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</si>
  <si>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</si>
  <si>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</si>
  <si>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</si>
  <si>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</si>
  <si>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</si>
  <si>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</si>
  <si>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</si>
  <si>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</si>
  <si>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</si>
  <si>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</si>
  <si>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</si>
  <si>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</si>
  <si>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</si>
  <si>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</si>
  <si>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</si>
  <si>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</si>
  <si>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</si>
  <si>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</si>
  <si>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</si>
  <si>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</si>
  <si>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</si>
  <si>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</si>
  <si>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</si>
  <si>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</si>
  <si>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</si>
  <si>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</si>
  <si>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</si>
  <si>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</si>
  <si>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</si>
  <si>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</si>
  <si>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</si>
  <si>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</si>
  <si>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</si>
  <si>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</si>
  <si>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</si>
  <si>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</si>
  <si>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</si>
  <si>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</si>
  <si>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</si>
  <si>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</si>
  <si>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</si>
  <si>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</si>
  <si>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</si>
  <si>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</si>
  <si>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</si>
  <si>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</si>
  <si>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</si>
  <si>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</si>
  <si>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</si>
  <si>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</si>
  <si>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</si>
  <si>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</si>
  <si>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</si>
  <si>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</si>
  <si>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</si>
  <si>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</si>
  <si>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</si>
  <si>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</si>
  <si>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</si>
  <si>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</si>
  <si>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</si>
  <si>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</si>
  <si>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</si>
  <si>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</si>
  <si>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</si>
  <si>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</si>
  <si>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</si>
  <si>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</si>
  <si>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</si>
  <si>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</si>
  <si>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</si>
  <si>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</si>
  <si>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</si>
  <si>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</si>
  <si>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</si>
  <si>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</si>
  <si>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</si>
  <si>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</si>
  <si>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</si>
  <si>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</si>
  <si>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</si>
  <si>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</si>
  <si>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</si>
  <si>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</si>
  <si>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</si>
  <si>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</si>
  <si>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</si>
  <si>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</si>
  <si>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</si>
  <si>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</si>
  <si>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</si>
  <si>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</si>
  <si>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</si>
  <si>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</si>
  <si>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</si>
  <si>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</si>
  <si>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</si>
  <si>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</si>
  <si>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</si>
  <si>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</si>
  <si>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</si>
  <si>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</si>
  <si>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</si>
  <si>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</si>
  <si>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</si>
  <si>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</si>
  <si>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</si>
  <si>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</si>
  <si>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</si>
  <si>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</si>
  <si>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</si>
  <si>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</si>
  <si>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</si>
  <si>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</si>
  <si>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</si>
  <si>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</si>
  <si>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</si>
  <si>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</si>
  <si>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</si>
  <si>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</si>
  <si>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</si>
  <si>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</si>
  <si>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</si>
  <si>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</si>
  <si>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</si>
  <si>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</si>
  <si>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</si>
  <si>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</si>
  <si>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</si>
  <si>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</si>
  <si>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</si>
  <si>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</si>
  <si>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</si>
  <si>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</si>
  <si>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</si>
  <si>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</si>
  <si>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</si>
  <si>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</si>
  <si>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</si>
  <si>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</si>
  <si>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</si>
  <si>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</si>
  <si>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</si>
  <si>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</si>
  <si>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</si>
  <si>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</si>
  <si>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</si>
  <si>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</si>
  <si>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</si>
  <si>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</si>
  <si>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</si>
  <si>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</si>
  <si>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</si>
  <si>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</si>
  <si>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</si>
  <si>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</si>
  <si>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</si>
  <si>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</si>
  <si>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</si>
  <si>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</si>
  <si>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</si>
  <si>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</si>
  <si>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</si>
  <si>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</si>
  <si>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</si>
  <si>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</si>
  <si>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</si>
  <si>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</si>
  <si>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</si>
  <si>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</si>
  <si>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</si>
  <si>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</si>
  <si>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</si>
  <si>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</si>
  <si>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</si>
  <si>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</si>
  <si>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</si>
  <si>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</si>
  <si>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</si>
  <si>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</si>
  <si>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</si>
  <si>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</si>
  <si>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</si>
  <si>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</si>
  <si>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</si>
  <si>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</si>
  <si>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</si>
  <si>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</si>
  <si>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</si>
  <si>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</si>
  <si>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</si>
  <si>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</si>
  <si>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</si>
  <si>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</si>
  <si>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</si>
  <si>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</si>
  <si>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</si>
  <si>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</si>
  <si>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</si>
  <si>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</si>
  <si>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</si>
  <si>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</si>
  <si>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</si>
  <si>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</si>
  <si>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</si>
  <si>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</si>
  <si>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</si>
  <si>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</si>
  <si>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</si>
  <si>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</si>
  <si>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</si>
  <si>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</si>
  <si>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</si>
  <si>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</si>
  <si>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</si>
  <si>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</si>
  <si>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</si>
  <si>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</si>
  <si>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</si>
  <si>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</si>
  <si>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</si>
  <si>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</si>
  <si>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</si>
  <si>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</si>
  <si>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</si>
  <si>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</si>
  <si>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</si>
  <si>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</si>
  <si>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</si>
  <si>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</si>
  <si>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</si>
  <si>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</si>
  <si>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</si>
  <si>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</si>
  <si>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</si>
  <si>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</si>
  <si>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</si>
  <si>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</si>
  <si>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</si>
  <si>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</si>
  <si>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</si>
  <si>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</si>
  <si>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</si>
  <si>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</si>
  <si>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</si>
  <si>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</si>
  <si>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</si>
  <si>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</si>
  <si>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</si>
  <si>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</si>
  <si>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</si>
  <si>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</si>
  <si>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</si>
  <si>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</si>
  <si>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</si>
  <si>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</si>
  <si>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</si>
  <si>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</si>
  <si>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</si>
  <si>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</si>
  <si>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</si>
  <si>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</si>
  <si>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</si>
  <si>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</si>
  <si>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</si>
  <si>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</si>
  <si>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</si>
  <si>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</si>
  <si>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</si>
  <si>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</si>
  <si>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</si>
  <si>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</si>
  <si>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</si>
  <si>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</si>
  <si>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</si>
  <si>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</si>
  <si>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</si>
  <si>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</si>
  <si>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</si>
  <si>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</si>
  <si>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</si>
  <si>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</si>
  <si>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</si>
  <si>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</si>
  <si>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</si>
  <si>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</si>
  <si>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</si>
  <si>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</si>
  <si>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</si>
  <si>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</si>
  <si>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</si>
  <si>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</si>
  <si>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</si>
  <si>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</si>
  <si>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</si>
  <si>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</si>
  <si>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</si>
  <si>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</si>
  <si>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</si>
  <si>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</si>
  <si>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</si>
  <si>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</si>
  <si>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</si>
  <si>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</si>
  <si>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</si>
  <si>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</si>
  <si>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</si>
  <si>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</si>
  <si>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</si>
  <si>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</si>
  <si>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</si>
  <si>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</si>
  <si>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</si>
  <si>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</si>
  <si>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</si>
  <si>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</si>
  <si>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</si>
  <si>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</si>
  <si>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</si>
  <si>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</si>
  <si>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</si>
  <si>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</si>
  <si>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</si>
  <si>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</si>
  <si>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</si>
  <si>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</si>
  <si>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</si>
  <si>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</si>
  <si>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</si>
  <si>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</si>
  <si>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</si>
  <si>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</si>
  <si>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</si>
  <si>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</si>
  <si>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</si>
  <si>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</si>
  <si>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</si>
  <si>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</si>
  <si>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</si>
  <si>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</si>
  <si>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</si>
  <si>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</si>
  <si>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</si>
  <si>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</si>
  <si>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</si>
  <si>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</si>
  <si>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</si>
  <si>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</si>
  <si>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</si>
  <si>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</si>
  <si>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</si>
  <si>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</si>
  <si>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</si>
  <si>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</si>
  <si>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</si>
  <si>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</si>
  <si>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</si>
  <si>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</si>
  <si>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</si>
  <si>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</si>
  <si>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</si>
  <si>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</si>
  <si>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</si>
  <si>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</si>
  <si>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</si>
  <si>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</si>
  <si>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</si>
  <si>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</si>
  <si>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</si>
  <si>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</si>
  <si>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</si>
  <si>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</si>
  <si>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</si>
  <si>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</si>
  <si>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</si>
  <si>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</si>
  <si>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</si>
  <si>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</si>
  <si>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</si>
  <si>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</si>
  <si>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</si>
  <si>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</si>
  <si>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</si>
  <si>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</si>
  <si>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</si>
  <si>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</si>
  <si>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</si>
  <si>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</si>
  <si>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</si>
  <si>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</si>
  <si>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</si>
  <si>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</si>
  <si>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</si>
  <si>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</si>
  <si>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</si>
  <si>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</si>
  <si>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</si>
  <si>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</si>
  <si>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</si>
  <si>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</si>
  <si>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</si>
  <si>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</si>
  <si>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</si>
  <si>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</si>
  <si>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</si>
  <si>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</si>
  <si>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</si>
  <si>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</si>
  <si>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</si>
  <si>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</si>
  <si>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</si>
  <si>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</si>
  <si>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</si>
  <si>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</si>
  <si>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</si>
  <si>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</si>
  <si>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</si>
  <si>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</si>
  <si>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</si>
  <si>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</si>
  <si>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</si>
  <si>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</si>
  <si>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</si>
  <si>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</si>
  <si>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</si>
  <si>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</si>
  <si>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</si>
  <si>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</si>
  <si>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</si>
  <si>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</si>
  <si>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</si>
  <si>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</si>
  <si>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</si>
  <si>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</si>
  <si>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</si>
  <si>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</si>
  <si>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</si>
  <si>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</si>
  <si>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</si>
  <si>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</si>
  <si>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</si>
  <si>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</si>
  <si>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</si>
  <si>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</si>
  <si>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</si>
  <si>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</si>
  <si>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</si>
  <si>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</si>
  <si>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</si>
  <si>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</si>
  <si>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</si>
  <si>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</si>
  <si>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</si>
  <si>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</si>
  <si>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</si>
  <si>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</si>
  <si>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</si>
  <si>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</si>
  <si>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</si>
  <si>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</si>
  <si>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</si>
  <si>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</si>
  <si>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</si>
  <si>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</si>
  <si>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</si>
  <si>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</si>
  <si>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</si>
  <si>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</si>
  <si>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</si>
  <si>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</si>
  <si>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</si>
  <si>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</si>
  <si>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</si>
  <si>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</si>
  <si>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</si>
  <si>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</si>
  <si>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</si>
  <si>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</si>
  <si>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</si>
  <si>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</si>
  <si>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</si>
  <si>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</si>
  <si>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</si>
  <si>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</si>
  <si>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</si>
  <si>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</si>
  <si>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</si>
  <si>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</si>
  <si>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</si>
  <si>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</si>
  <si>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</si>
  <si>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</si>
  <si>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</si>
  <si>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</si>
  <si>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</si>
  <si>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</si>
  <si>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</si>
  <si>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</si>
  <si>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</si>
  <si>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</si>
  <si>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</si>
  <si>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</si>
  <si>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</si>
  <si>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</si>
  <si>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</si>
  <si>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</si>
  <si>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</si>
  <si>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</si>
  <si>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</si>
  <si>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</si>
  <si>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</si>
  <si>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</si>
  <si>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</si>
  <si>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</si>
  <si>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</si>
  <si>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</si>
  <si>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</si>
  <si>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</si>
  <si>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</si>
  <si>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</si>
  <si>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</si>
  <si>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</si>
  <si>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</si>
  <si>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</si>
  <si>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</si>
  <si>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</si>
  <si>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</si>
  <si>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</si>
  <si>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</si>
  <si>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</si>
  <si>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</si>
  <si>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</si>
  <si>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</si>
  <si>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</si>
  <si>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</si>
  <si>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</si>
  <si>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</si>
  <si>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</si>
  <si>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</si>
  <si>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</si>
  <si>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</si>
  <si>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</si>
  <si>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</si>
  <si>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</si>
  <si>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</si>
  <si>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</si>
  <si>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</si>
  <si>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</si>
  <si>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</si>
  <si>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</si>
  <si>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</si>
  <si>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</si>
  <si>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</si>
  <si>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</si>
  <si>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</si>
  <si>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</si>
  <si>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</si>
  <si>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</si>
  <si>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</si>
  <si>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</si>
  <si>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</si>
  <si>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</si>
  <si>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</si>
  <si>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</si>
  <si>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</si>
  <si>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</si>
  <si>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</si>
  <si>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</si>
  <si>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</si>
  <si>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</si>
  <si>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</si>
  <si>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</si>
  <si>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</si>
  <si>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</si>
  <si>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</si>
  <si>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</si>
  <si>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</si>
  <si>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</si>
  <si>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</si>
  <si>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</si>
  <si>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</si>
  <si>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</si>
  <si>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</si>
  <si>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</si>
  <si>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</si>
  <si>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</si>
  <si>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</si>
  <si>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</si>
  <si>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</si>
  <si>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</si>
  <si>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</si>
  <si>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</si>
  <si>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</si>
  <si>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</si>
  <si>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</si>
  <si>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</si>
  <si>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</si>
  <si>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</si>
  <si>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</si>
  <si>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</si>
  <si>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</si>
  <si>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</si>
  <si>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</si>
  <si>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</si>
  <si>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</si>
  <si>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</si>
  <si>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</si>
  <si>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</si>
  <si>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</si>
  <si>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</si>
  <si>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</si>
  <si>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</si>
  <si>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</si>
  <si>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</si>
  <si>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</si>
  <si>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</si>
  <si>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</si>
  <si>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</si>
  <si>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</si>
  <si>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</si>
  <si>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</si>
  <si>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</si>
  <si>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</si>
  <si>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</si>
  <si>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</si>
  <si>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</si>
  <si>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</si>
  <si>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</si>
  <si>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</si>
  <si>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</si>
  <si>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</si>
  <si>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</si>
  <si>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</si>
  <si>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</si>
  <si>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</si>
  <si>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</si>
  <si>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</si>
  <si>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</si>
  <si>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</si>
  <si>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</si>
  <si>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</si>
  <si>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</si>
  <si>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</si>
  <si>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</si>
  <si>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</si>
  <si>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</si>
  <si>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</si>
  <si>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</si>
  <si>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</si>
  <si>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</si>
  <si>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</si>
  <si>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</si>
  <si>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</si>
  <si>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</si>
  <si>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</si>
  <si>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</si>
  <si>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</si>
  <si>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</si>
  <si>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</si>
  <si>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</si>
  <si>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</si>
  <si>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</si>
  <si>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</si>
  <si>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</si>
  <si>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</si>
  <si>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</si>
  <si>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</si>
  <si>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</si>
  <si>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</si>
  <si>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</si>
  <si>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</si>
  <si>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</si>
  <si>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</si>
  <si>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</si>
  <si>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</si>
  <si>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</si>
  <si>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</si>
  <si>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</si>
  <si>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</si>
  <si>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</si>
  <si>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</si>
  <si>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</si>
  <si>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</si>
  <si>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</si>
  <si>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</si>
  <si>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</si>
  <si>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</si>
  <si>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</si>
  <si>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</si>
  <si>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</si>
  <si>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</si>
  <si>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</si>
  <si>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</si>
  <si>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</si>
  <si>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</si>
  <si>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</si>
  <si>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</si>
  <si>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</si>
  <si>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</si>
  <si>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</si>
  <si>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</si>
  <si>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</si>
  <si>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</si>
  <si>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</si>
  <si>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</si>
  <si>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</si>
  <si>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</si>
  <si>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</si>
  <si>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</si>
  <si>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</si>
  <si>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</si>
  <si>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</si>
  <si>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</si>
  <si>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</si>
  <si>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</si>
  <si>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</si>
  <si>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</si>
  <si>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</si>
  <si>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</si>
  <si>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</si>
  <si>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</si>
  <si>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</si>
  <si>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</si>
  <si>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</si>
  <si>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</si>
  <si>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</si>
  <si>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</si>
  <si>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</si>
  <si>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</si>
  <si>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</si>
  <si>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</si>
  <si>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</si>
  <si>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</si>
  <si>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</si>
  <si>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</si>
  <si>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</si>
  <si>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</si>
  <si>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</si>
  <si>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</si>
  <si>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</si>
  <si>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</si>
  <si>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</si>
  <si>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</si>
  <si>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</si>
  <si>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</si>
  <si>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</si>
  <si>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</si>
  <si>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</si>
  <si>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</si>
  <si>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</si>
  <si>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</si>
  <si>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</si>
  <si>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</si>
  <si>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</si>
  <si>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</si>
  <si>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</si>
  <si>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</si>
  <si>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</si>
  <si>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</si>
  <si>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</si>
  <si>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</si>
  <si>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</si>
  <si>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</si>
  <si>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</si>
  <si>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</si>
  <si>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</si>
  <si>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</si>
  <si>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</si>
  <si>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</si>
  <si>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</si>
  <si>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</si>
  <si>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</si>
  <si>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</si>
  <si>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</si>
  <si>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</si>
  <si>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</si>
  <si>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</si>
  <si>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</si>
  <si>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</si>
  <si>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</si>
  <si>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</si>
  <si>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</si>
  <si>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</si>
  <si>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</si>
  <si>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</si>
  <si>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</si>
  <si>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</si>
  <si>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</si>
  <si>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</si>
  <si>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</si>
  <si>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</si>
  <si>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</si>
  <si>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</si>
  <si>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</si>
  <si>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</si>
  <si>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</si>
  <si>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</si>
  <si>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</si>
  <si>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</si>
  <si>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</si>
  <si>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</si>
  <si>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</si>
  <si>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</si>
  <si>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</si>
  <si>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</si>
  <si>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</si>
  <si>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</si>
  <si>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</si>
  <si>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</si>
  <si>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</si>
  <si>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</si>
  <si>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</si>
  <si>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</si>
  <si>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</si>
  <si>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</si>
  <si>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</si>
  <si>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</si>
  <si>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</si>
  <si>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</si>
  <si>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</si>
  <si>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</si>
  <si>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</si>
  <si>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</si>
  <si>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</si>
  <si>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</si>
  <si>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</si>
  <si>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</si>
  <si>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</si>
  <si>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</si>
  <si>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</si>
  <si>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</si>
  <si>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</si>
  <si>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</si>
  <si>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</si>
  <si>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</si>
  <si>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</si>
  <si>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</si>
  <si>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</si>
  <si>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</si>
  <si>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</si>
  <si>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</si>
  <si>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</si>
  <si>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</si>
  <si>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</si>
  <si>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</si>
  <si>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</si>
  <si>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</si>
  <si>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</si>
  <si>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</si>
  <si>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</si>
  <si>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</si>
  <si>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</si>
  <si>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</si>
  <si>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</si>
  <si>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</si>
  <si>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</si>
  <si>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</si>
  <si>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</si>
  <si>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</si>
  <si>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</si>
  <si>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</si>
  <si>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</si>
  <si>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</si>
  <si>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</si>
  <si>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</si>
  <si>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</si>
  <si>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</si>
  <si>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</si>
  <si>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</si>
  <si>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</si>
  <si>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</si>
  <si>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</si>
  <si>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</si>
  <si>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</si>
  <si>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</si>
  <si>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</si>
  <si>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</si>
  <si>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</si>
  <si>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</si>
  <si>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</si>
  <si>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</si>
  <si>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</si>
  <si>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</si>
  <si>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</si>
  <si>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</si>
  <si>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</si>
  <si>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</si>
  <si>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</si>
  <si>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</si>
  <si>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</si>
  <si>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</si>
  <si>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</si>
  <si>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</si>
  <si>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</si>
  <si>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</si>
  <si>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</si>
  <si>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</si>
  <si>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</si>
  <si>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</si>
  <si>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</si>
  <si>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</si>
  <si>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</si>
  <si>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</si>
  <si>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</si>
  <si>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</si>
  <si>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</si>
  <si>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</si>
  <si>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</si>
  <si>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</si>
  <si>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</si>
  <si>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</si>
  <si>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</si>
  <si>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</si>
  <si>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</si>
  <si>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</si>
  <si>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</si>
  <si>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</si>
  <si>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</si>
  <si>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</si>
  <si>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</si>
  <si>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</si>
  <si>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</si>
  <si>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</si>
  <si>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</si>
  <si>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</si>
  <si>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</si>
  <si>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</si>
  <si>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</si>
  <si>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</si>
  <si>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</si>
  <si>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</si>
  <si>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</si>
  <si>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</si>
  <si>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</si>
  <si>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</si>
  <si>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</si>
  <si>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</si>
  <si>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</si>
  <si>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</si>
  <si>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</si>
  <si>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</si>
  <si>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</si>
  <si>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</si>
  <si>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</si>
  <si>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</si>
  <si>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</si>
  <si>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</si>
  <si>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</si>
  <si>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</si>
  <si>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</si>
  <si>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</si>
  <si>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</si>
  <si>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</si>
  <si>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</si>
  <si>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</si>
  <si>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</si>
  <si>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</si>
  <si>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</si>
  <si>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</si>
  <si>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</si>
  <si>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</si>
  <si>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</si>
  <si>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</si>
  <si>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</si>
  <si>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</si>
  <si>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</si>
  <si>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</si>
  <si>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</si>
  <si>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</si>
  <si>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</si>
  <si>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</si>
  <si>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</si>
  <si>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</si>
  <si>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</si>
  <si>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</si>
  <si>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</si>
  <si>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</si>
  <si>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</si>
  <si>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</si>
  <si>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</si>
  <si>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</si>
  <si>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</si>
  <si>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</si>
  <si>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</si>
  <si>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</si>
  <si>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</si>
  <si>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</si>
  <si>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</si>
  <si>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</si>
  <si>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</si>
  <si>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</si>
  <si>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</si>
  <si>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</si>
  <si>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</si>
  <si>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</si>
  <si>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</si>
  <si>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</si>
  <si>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</si>
  <si>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</si>
  <si>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</si>
  <si>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</si>
  <si>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</si>
  <si>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</si>
  <si>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</si>
  <si>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</si>
  <si>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</si>
  <si>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</si>
  <si>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</si>
  <si>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</si>
  <si>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</si>
  <si>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</si>
  <si>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</si>
  <si>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</si>
  <si>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</si>
  <si>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</si>
  <si>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</si>
  <si>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</si>
  <si>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</si>
  <si>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</si>
  <si>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</si>
  <si>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</si>
  <si>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</si>
  <si>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</si>
  <si>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</si>
  <si>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</si>
  <si>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</si>
  <si>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</si>
  <si>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</si>
  <si>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</si>
  <si>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</si>
  <si>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</si>
  <si>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</si>
  <si>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</si>
  <si>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</si>
  <si>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</si>
  <si>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</si>
  <si>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</si>
  <si>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</si>
  <si>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</si>
  <si>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</si>
  <si>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</si>
  <si>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</si>
  <si>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</si>
  <si>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</si>
  <si>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</si>
  <si>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</si>
  <si>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</si>
  <si>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</si>
  <si>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</si>
  <si>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</si>
  <si>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</si>
  <si>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</si>
  <si>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</si>
  <si>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</si>
  <si>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</si>
  <si>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</si>
  <si>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</si>
  <si>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</si>
  <si>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</si>
  <si>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</si>
  <si>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</si>
  <si>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</si>
  <si>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</si>
  <si>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</si>
  <si>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</si>
  <si>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</si>
  <si>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</si>
  <si>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</si>
  <si>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</si>
  <si>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</si>
  <si>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</si>
  <si>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</si>
  <si>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</si>
  <si>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</si>
  <si>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</si>
  <si>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</si>
  <si>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</si>
  <si>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</si>
  <si>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</si>
  <si>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</si>
  <si>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</si>
  <si>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</si>
  <si>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</si>
  <si>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</si>
  <si>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</si>
  <si>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</si>
  <si>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</si>
  <si>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</si>
  <si>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</si>
  <si>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</si>
  <si>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</si>
  <si>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</si>
  <si>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</si>
  <si>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</si>
  <si>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</si>
  <si>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</si>
  <si>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</si>
  <si>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</si>
  <si>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</si>
  <si>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</si>
  <si>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</si>
  <si>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</si>
  <si>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</si>
  <si>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</si>
  <si>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</si>
  <si>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</si>
  <si>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</si>
  <si>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</si>
  <si>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</si>
  <si>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</si>
  <si>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</si>
  <si>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</si>
  <si>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</si>
  <si>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</si>
  <si>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</si>
  <si>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</si>
  <si>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</si>
  <si>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</si>
  <si>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</si>
  <si>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</si>
  <si>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</si>
  <si>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</si>
  <si>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</si>
  <si>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</si>
  <si>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</si>
  <si>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</si>
  <si>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</si>
  <si>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</si>
  <si>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</si>
  <si>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</si>
  <si>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</si>
  <si>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</si>
  <si>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</si>
  <si>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</si>
  <si>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</si>
  <si>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</si>
  <si>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</si>
  <si>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</si>
  <si>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</si>
  <si>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</si>
  <si>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</si>
  <si>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</si>
  <si>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</si>
  <si>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</si>
  <si>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</si>
  <si>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</si>
  <si>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</si>
  <si>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</si>
  <si>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</si>
  <si>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</si>
  <si>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</si>
  <si>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</si>
  <si>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</si>
  <si>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</si>
  <si>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</si>
  <si>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</si>
  <si>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</si>
  <si>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</si>
  <si>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</si>
  <si>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</si>
  <si>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</si>
  <si>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</si>
  <si>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</si>
  <si>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</si>
  <si>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</si>
  <si>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</si>
  <si>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</si>
  <si>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</si>
  <si>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</si>
  <si>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</si>
  <si>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</si>
  <si>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</si>
  <si>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</si>
  <si>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</si>
  <si>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</si>
  <si>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</si>
  <si>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</si>
  <si>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</si>
  <si>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</si>
  <si>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</si>
  <si>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</si>
  <si>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</si>
  <si>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</si>
  <si>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</si>
  <si>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</si>
  <si>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</si>
  <si>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</si>
  <si>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</si>
  <si>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</si>
  <si>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</si>
  <si>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</si>
  <si>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</si>
  <si>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</si>
  <si>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</si>
  <si>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</si>
  <si>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</si>
  <si>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</si>
  <si>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</si>
  <si>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</si>
  <si>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</si>
  <si>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</si>
  <si>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</si>
  <si>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</si>
  <si>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</si>
  <si>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</si>
  <si>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</si>
  <si>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</si>
  <si>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</si>
  <si>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</si>
  <si>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</si>
  <si>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</si>
  <si>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</si>
  <si>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</si>
  <si>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</si>
  <si>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</si>
  <si>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</si>
  <si>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</si>
  <si>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</si>
  <si>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</si>
  <si>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</si>
  <si>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</si>
  <si>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</si>
  <si>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</si>
  <si>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</si>
  <si>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</si>
  <si>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</si>
  <si>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</si>
  <si>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</si>
  <si>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</si>
  <si>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</si>
  <si>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</si>
  <si>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</si>
  <si>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</si>
  <si>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</si>
  <si>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</si>
  <si>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</si>
  <si>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</si>
  <si>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</si>
  <si>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</si>
  <si>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</si>
  <si>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</si>
  <si>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</si>
  <si>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</si>
  <si>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</si>
  <si>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</si>
  <si>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</si>
  <si>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</si>
  <si>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</si>
  <si>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</si>
  <si>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</si>
  <si>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</si>
  <si>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</si>
  <si>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</si>
  <si>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</si>
  <si>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</si>
  <si>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</si>
  <si>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</si>
  <si>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</si>
  <si>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</si>
  <si>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</si>
  <si>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</si>
  <si>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</si>
  <si>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</si>
  <si>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</si>
  <si>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</si>
  <si>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</si>
  <si>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</si>
  <si>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</si>
  <si>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</si>
  <si>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</si>
  <si>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</si>
  <si>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</si>
  <si>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</si>
  <si>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</si>
  <si>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</si>
  <si>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</si>
  <si>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</si>
  <si>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</si>
  <si>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</si>
  <si>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</si>
  <si>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</si>
  <si>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</si>
  <si>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</si>
  <si>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</si>
  <si>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</si>
  <si>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</si>
  <si>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</si>
  <si>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</si>
  <si>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</si>
  <si>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</si>
  <si>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</si>
  <si>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</si>
  <si>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</si>
  <si>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</si>
  <si>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</si>
  <si>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</si>
  <si>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</si>
  <si>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</si>
  <si>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</si>
  <si>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</si>
  <si>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</si>
  <si>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</si>
  <si>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</si>
  <si>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</si>
  <si>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</si>
  <si>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</si>
  <si>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</si>
  <si>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</si>
  <si>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</si>
  <si>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</si>
  <si>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</si>
  <si>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</si>
  <si>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</si>
  <si>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</si>
  <si>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</si>
  <si>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</si>
  <si>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</si>
  <si>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</si>
  <si>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</si>
  <si>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</si>
  <si>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</si>
  <si>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</si>
  <si>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</si>
  <si>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</si>
  <si>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</si>
  <si>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</si>
  <si>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</si>
  <si>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</si>
  <si>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</si>
  <si>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</si>
  <si>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</si>
  <si>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</si>
  <si>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</si>
  <si>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</si>
  <si>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</si>
  <si>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</si>
  <si>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</si>
  <si>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</si>
  <si>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</si>
  <si>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</si>
  <si>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</si>
  <si>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</si>
  <si>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</si>
  <si>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</si>
  <si>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</si>
  <si>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</si>
  <si>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</si>
  <si>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</si>
  <si>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</si>
  <si>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</si>
  <si>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</si>
  <si>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</si>
  <si>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</si>
  <si>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</si>
  <si>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</si>
  <si>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</si>
  <si>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</si>
  <si>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</si>
  <si>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</si>
  <si>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</si>
  <si>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</si>
  <si>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</si>
  <si>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</si>
  <si>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</si>
  <si>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</si>
  <si>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</si>
  <si>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</si>
  <si>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</si>
  <si>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</si>
  <si>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</si>
  <si>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</si>
  <si>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</si>
  <si>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</si>
  <si>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</si>
  <si>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</si>
  <si>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</si>
  <si>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</si>
  <si>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</si>
  <si>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</si>
  <si>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</si>
  <si>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</si>
  <si>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</si>
  <si>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</si>
  <si>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</si>
  <si>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</si>
  <si>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</si>
  <si>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</si>
  <si>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</si>
  <si>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</si>
  <si>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</si>
  <si>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</si>
  <si>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</si>
  <si>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</si>
  <si>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</si>
  <si>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</si>
  <si>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</si>
  <si>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</si>
  <si>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</si>
  <si>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</si>
  <si>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</si>
  <si>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</si>
  <si>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</si>
  <si>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</si>
  <si>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</si>
  <si>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</si>
  <si>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</si>
  <si>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</si>
  <si>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</si>
  <si>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</si>
  <si>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</si>
  <si>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</si>
  <si>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</si>
  <si>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</si>
  <si>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</si>
  <si>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</si>
  <si>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</si>
  <si>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</si>
  <si>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</si>
  <si>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</si>
  <si>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</si>
  <si>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</si>
  <si>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</si>
  <si>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</si>
  <si>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</si>
  <si>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</si>
  <si>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</si>
  <si>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</si>
  <si>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</si>
  <si>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</si>
  <si>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</si>
  <si>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</si>
  <si>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</si>
  <si>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</si>
  <si>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</si>
  <si>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</si>
  <si>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</si>
  <si>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</si>
  <si>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</si>
  <si>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</si>
  <si>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</si>
  <si>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</si>
  <si>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</si>
  <si>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</si>
  <si>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</si>
  <si>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</si>
  <si>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</si>
  <si>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</si>
  <si>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</si>
  <si>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</si>
  <si>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</si>
  <si>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</si>
  <si>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</si>
  <si>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</si>
  <si>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</si>
  <si>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</si>
  <si>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</si>
  <si>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</si>
  <si>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</si>
  <si>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</si>
  <si>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</si>
  <si>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</si>
  <si>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</si>
  <si>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</si>
  <si>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</si>
  <si>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</si>
  <si>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</si>
  <si>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</si>
  <si>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</si>
  <si>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</si>
  <si>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</si>
  <si>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</si>
  <si>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</si>
  <si>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</si>
  <si>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</si>
  <si>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</si>
  <si>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</si>
  <si>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</si>
  <si>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</si>
  <si>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</si>
  <si>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</si>
  <si>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</si>
  <si>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</si>
  <si>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</si>
  <si>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</si>
  <si>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</si>
  <si>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</si>
  <si>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</si>
  <si>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</si>
  <si>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</si>
  <si>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</si>
  <si>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</si>
  <si>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</si>
  <si>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</si>
  <si>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</si>
  <si>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</si>
  <si>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</si>
  <si>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</si>
  <si>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</si>
  <si>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</si>
  <si>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</si>
  <si>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</si>
  <si>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</si>
  <si>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</si>
  <si>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</si>
  <si>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</si>
  <si>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</si>
  <si>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</si>
  <si>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</si>
  <si>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</si>
  <si>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</si>
  <si>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</si>
  <si>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</si>
  <si>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</si>
  <si>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</si>
  <si>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</si>
  <si>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</si>
  <si>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</si>
  <si>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</si>
  <si>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</si>
  <si>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</si>
  <si>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</si>
  <si>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</si>
  <si>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</si>
  <si>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</si>
  <si>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</si>
  <si>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</si>
  <si>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</si>
  <si>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</si>
  <si>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</si>
  <si>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</si>
  <si>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</si>
  <si>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</si>
  <si>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</si>
  <si>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</si>
  <si>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</si>
  <si>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</si>
  <si>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</si>
  <si>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</si>
  <si>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</si>
  <si>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</si>
  <si>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</si>
  <si>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</si>
  <si>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</si>
  <si>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</si>
  <si>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</si>
  <si>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</si>
  <si>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</si>
  <si>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</si>
  <si>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</si>
  <si>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</si>
  <si>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</si>
  <si>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</si>
  <si>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</si>
  <si>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</si>
  <si>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</si>
  <si>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</si>
  <si>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</si>
  <si>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</si>
  <si>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</si>
  <si>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</si>
  <si>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</si>
  <si>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</si>
  <si>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</si>
  <si>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</si>
  <si>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</si>
  <si>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</si>
  <si>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</si>
  <si>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</si>
  <si>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</si>
  <si>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</si>
  <si>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</si>
  <si>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</si>
  <si>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</si>
  <si>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</si>
  <si>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</si>
  <si>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</si>
  <si>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</si>
  <si>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</si>
  <si>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</si>
  <si>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</si>
  <si>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</si>
  <si>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</si>
  <si>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</si>
  <si>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</si>
  <si>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</si>
  <si>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</si>
  <si>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</si>
  <si>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</si>
  <si>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</si>
  <si>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</si>
  <si>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</si>
  <si>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</si>
  <si>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</si>
  <si>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</si>
  <si>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</si>
  <si>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</si>
  <si>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</si>
  <si>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</si>
  <si>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</si>
  <si>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</si>
  <si>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</si>
  <si>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</si>
  <si>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</si>
  <si>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</si>
  <si>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</si>
  <si>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</si>
  <si>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</si>
  <si>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</si>
  <si>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</si>
  <si>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</si>
  <si>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</si>
  <si>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</si>
  <si>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</si>
  <si>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</si>
  <si>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</si>
  <si>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</si>
  <si>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</si>
  <si>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</si>
  <si>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</si>
  <si>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</si>
  <si>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</si>
  <si>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</si>
  <si>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</si>
  <si>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</si>
  <si>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</si>
  <si>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</si>
  <si>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</si>
  <si>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</si>
  <si>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</si>
  <si>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</si>
  <si>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</si>
  <si>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</si>
  <si>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</si>
  <si>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</si>
  <si>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</si>
  <si>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</si>
  <si>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</si>
  <si>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</si>
  <si>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</si>
  <si>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</si>
  <si>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</si>
  <si>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</si>
  <si>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</si>
  <si>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</si>
  <si>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</si>
  <si>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</si>
  <si>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</si>
  <si>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</si>
  <si>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</si>
  <si>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</si>
  <si>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</si>
  <si>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</si>
  <si>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</si>
  <si>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</si>
  <si>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</si>
  <si>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</si>
  <si>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</si>
  <si>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</si>
  <si>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</si>
  <si>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</si>
  <si>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</si>
  <si>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</si>
  <si>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</si>
  <si>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</si>
  <si>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</si>
  <si>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</si>
  <si>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</si>
  <si>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</si>
  <si>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</si>
  <si>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</si>
  <si>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</si>
  <si>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</si>
  <si>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</si>
  <si>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</si>
  <si>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</si>
  <si>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</si>
  <si>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</si>
  <si>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</si>
  <si>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</si>
  <si>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</si>
  <si>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</si>
  <si>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</si>
  <si>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</si>
  <si>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</si>
  <si>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</si>
  <si>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</si>
  <si>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</si>
  <si>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</si>
  <si>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</si>
  <si>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</si>
  <si>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</si>
  <si>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</si>
  <si>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</si>
  <si>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</si>
  <si>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</si>
  <si>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</si>
  <si>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</si>
  <si>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</si>
  <si>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</si>
  <si>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</si>
  <si>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</si>
  <si>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</si>
  <si>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</si>
  <si>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</si>
  <si>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</si>
  <si>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</si>
  <si>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</si>
  <si>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</si>
  <si>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</si>
  <si>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</si>
  <si>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</si>
  <si>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</si>
  <si>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</si>
  <si>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</si>
  <si>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</si>
  <si>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</si>
  <si>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</si>
  <si>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</si>
  <si>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</si>
  <si>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</si>
  <si>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</si>
  <si>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</si>
  <si>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</si>
  <si>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</si>
  <si>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</si>
  <si>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</si>
  <si>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</si>
  <si>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</si>
  <si>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</si>
  <si>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</si>
  <si>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</si>
  <si>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</si>
  <si>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</si>
  <si>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</si>
  <si>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</si>
  <si>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</si>
  <si>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</si>
  <si>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</si>
  <si>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</si>
  <si>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</si>
  <si>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</si>
  <si>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</si>
  <si>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</si>
  <si>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</si>
  <si>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</si>
  <si>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</si>
  <si>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</si>
  <si>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</si>
  <si>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</si>
  <si>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</si>
  <si>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</si>
  <si>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</si>
  <si>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</si>
  <si>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</si>
  <si>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</si>
  <si>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</si>
  <si>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</si>
  <si>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</si>
  <si>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</si>
  <si>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</si>
  <si>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</si>
  <si>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</si>
  <si>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</si>
  <si>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</si>
  <si>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</si>
  <si>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</si>
  <si>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</si>
  <si>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</si>
  <si>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</si>
  <si>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</si>
  <si>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</si>
  <si>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</si>
  <si>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</si>
  <si>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</si>
  <si>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</si>
  <si>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</si>
  <si>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</si>
  <si>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</si>
  <si>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</si>
  <si>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</si>
  <si>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</si>
  <si>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</si>
  <si>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</si>
  <si>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</si>
  <si>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</si>
  <si>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</si>
  <si>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</si>
  <si>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</si>
  <si>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</si>
  <si>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</si>
  <si>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</si>
  <si>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</si>
  <si>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</si>
  <si>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</si>
  <si>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</si>
  <si>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</si>
  <si>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</si>
  <si>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</si>
  <si>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</si>
  <si>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</si>
  <si>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</si>
  <si>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</si>
  <si>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</si>
  <si>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</si>
  <si>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</si>
  <si>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</si>
  <si>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</si>
  <si>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</si>
  <si>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</si>
  <si>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</si>
  <si>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</si>
  <si>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</si>
  <si>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</si>
  <si>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</si>
  <si>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</si>
  <si>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</si>
  <si>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</si>
  <si>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</si>
  <si>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</si>
  <si>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</si>
  <si>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</si>
  <si>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</si>
  <si>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</si>
  <si>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</si>
  <si>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</si>
  <si>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</si>
  <si>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</si>
  <si>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</si>
  <si>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</si>
  <si>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</si>
  <si>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</si>
  <si>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</si>
  <si>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</si>
  <si>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</si>
  <si>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</si>
  <si>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</si>
  <si>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</si>
  <si>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</si>
  <si>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</si>
  <si>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</si>
  <si>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</si>
  <si>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</si>
  <si>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</si>
  <si>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</si>
  <si>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</si>
  <si>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</si>
  <si>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</si>
  <si>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</si>
  <si>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</si>
  <si>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</si>
  <si>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</si>
  <si>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</si>
  <si>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</si>
  <si>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</si>
  <si>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</si>
  <si>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</si>
  <si>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</si>
  <si>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</si>
  <si>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</si>
  <si>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</si>
  <si>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</si>
  <si>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</si>
  <si>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</si>
  <si>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</si>
  <si>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</si>
  <si>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</si>
  <si>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</si>
  <si>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</si>
  <si>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</si>
  <si>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</si>
  <si>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</si>
  <si>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</si>
  <si>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</si>
  <si>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</si>
  <si>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</si>
  <si>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</si>
  <si>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</si>
  <si>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</si>
  <si>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</si>
  <si>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</si>
  <si>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</si>
  <si>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</si>
  <si>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</si>
  <si>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</si>
  <si>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</si>
  <si>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</si>
  <si>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</si>
  <si>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</si>
  <si>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</si>
  <si>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</si>
  <si>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</si>
  <si>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</si>
  <si>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</si>
  <si>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</si>
  <si>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</si>
  <si>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</si>
  <si>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</si>
  <si>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</si>
  <si>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</si>
  <si>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</si>
  <si>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</si>
  <si>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</si>
  <si>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</si>
  <si>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</si>
  <si>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</si>
  <si>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</si>
  <si>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</si>
  <si>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</si>
  <si>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</si>
  <si>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</si>
  <si>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</si>
  <si>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</si>
  <si>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</si>
  <si>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</si>
  <si>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</si>
  <si>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</si>
  <si>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</si>
  <si>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</si>
  <si>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</si>
  <si>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</si>
  <si>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</si>
  <si>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</si>
  <si>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</si>
  <si>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</si>
  <si>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</si>
  <si>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</si>
  <si>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</si>
  <si>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</si>
  <si>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</si>
  <si>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</si>
  <si>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</si>
  <si>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</si>
  <si>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</si>
  <si>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</si>
  <si>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</si>
  <si>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</si>
  <si>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</si>
  <si>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</si>
  <si>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</si>
  <si>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</si>
  <si>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</si>
  <si>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</si>
  <si>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</si>
  <si>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</si>
  <si>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</si>
  <si>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</si>
  <si>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</si>
  <si>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</si>
  <si>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</si>
  <si>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</si>
  <si>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</si>
  <si>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</si>
  <si>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</si>
  <si>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</si>
  <si>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</si>
  <si>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</si>
  <si>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</si>
  <si>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</si>
  <si>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</si>
  <si>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</si>
  <si>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</si>
  <si>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</si>
  <si>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</si>
  <si>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</si>
  <si>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</si>
  <si>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</si>
  <si>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</si>
  <si>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</si>
  <si>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</si>
  <si>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</si>
  <si>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</si>
  <si>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</si>
  <si>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</si>
  <si>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</si>
  <si>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</si>
  <si>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</si>
  <si>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</si>
  <si>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</si>
  <si>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</si>
  <si>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</si>
  <si>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</si>
  <si>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</si>
  <si>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</si>
  <si>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</si>
  <si>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</si>
  <si>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</si>
  <si>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</si>
  <si>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</si>
  <si>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</si>
  <si>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</si>
  <si>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</si>
  <si>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</si>
  <si>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</si>
  <si>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</si>
  <si>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</si>
  <si>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</si>
  <si>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</si>
  <si>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</si>
  <si>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</si>
  <si>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</si>
  <si>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</si>
  <si>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</si>
  <si>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</si>
  <si>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</si>
  <si>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</si>
  <si>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</si>
  <si>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</si>
  <si>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</si>
  <si>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</si>
  <si>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</si>
  <si>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</si>
  <si>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</si>
  <si>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</si>
  <si>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</si>
  <si>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</si>
  <si>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</si>
  <si>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</si>
  <si>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</si>
  <si>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</si>
  <si>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</si>
  <si>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</si>
  <si>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</si>
  <si>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</si>
  <si>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</si>
  <si>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</si>
  <si>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</si>
  <si>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</si>
  <si>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</si>
  <si>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</si>
  <si>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</si>
  <si>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</si>
  <si>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</si>
  <si>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</si>
  <si>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</si>
  <si>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</si>
  <si>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</si>
  <si>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</si>
  <si>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</si>
  <si>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</si>
  <si>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</si>
  <si>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</si>
  <si>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</si>
  <si>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</si>
  <si>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</si>
  <si>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</si>
  <si>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</si>
  <si>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</si>
  <si>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</si>
  <si>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</si>
  <si>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</si>
  <si>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</si>
  <si>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</si>
  <si>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</si>
  <si>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</si>
  <si>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</si>
  <si>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</si>
  <si>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</si>
  <si>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</si>
  <si>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</si>
  <si>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</si>
  <si>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</si>
  <si>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</si>
  <si>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</si>
  <si>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</si>
  <si>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</si>
  <si>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</si>
  <si>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</si>
  <si>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</si>
  <si>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</si>
  <si>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</si>
  <si>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</si>
  <si>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</si>
  <si>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</si>
  <si>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</si>
  <si>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</si>
  <si>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</si>
  <si>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</si>
  <si>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</si>
  <si>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</si>
  <si>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</si>
  <si>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</si>
  <si>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</si>
  <si>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</si>
  <si>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</si>
  <si>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</si>
  <si>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</si>
  <si>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</si>
  <si>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</si>
  <si>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</si>
  <si>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</si>
  <si>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</si>
  <si>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</si>
  <si>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</si>
  <si>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</si>
  <si>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</si>
  <si>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</si>
  <si>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</si>
  <si>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</si>
  <si>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</si>
  <si>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</si>
  <si>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</si>
  <si>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</si>
  <si>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</si>
  <si>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</si>
  <si>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</si>
  <si>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</si>
  <si>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</si>
  <si>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</si>
  <si>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</si>
  <si>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</si>
  <si>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</si>
  <si>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</si>
  <si>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</si>
  <si>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</si>
  <si>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</si>
  <si>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</si>
  <si>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</si>
  <si>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</si>
  <si>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</si>
  <si>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</si>
  <si>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</si>
  <si>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</si>
  <si>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</si>
  <si>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</si>
  <si>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</si>
  <si>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</si>
  <si>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</si>
  <si>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</si>
  <si>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</si>
  <si>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</si>
  <si>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</si>
  <si>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</si>
  <si>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</si>
  <si>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</si>
  <si>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</si>
  <si>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</si>
  <si>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</si>
  <si>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</si>
  <si>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</si>
  <si>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</si>
  <si>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</si>
  <si>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</si>
  <si>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</si>
  <si>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</si>
  <si>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</si>
  <si>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</si>
  <si>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</si>
  <si>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</si>
  <si>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</si>
  <si>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</si>
  <si>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</si>
  <si>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</si>
  <si>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</si>
  <si>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</si>
  <si>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</si>
  <si>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</si>
  <si>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</si>
  <si>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</si>
  <si>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</si>
  <si>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</si>
  <si>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</si>
  <si>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</si>
  <si>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</si>
  <si>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</si>
  <si>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</si>
  <si>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</si>
  <si>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</si>
  <si>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</si>
  <si>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</si>
  <si>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</si>
  <si>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</si>
  <si>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</si>
  <si>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</si>
  <si>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</si>
  <si>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</si>
  <si>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</si>
  <si>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</si>
  <si>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</si>
  <si>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</si>
  <si>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</si>
  <si>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</si>
  <si>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</si>
  <si>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</si>
  <si>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</si>
  <si>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</si>
  <si>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</si>
  <si>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</si>
  <si>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</si>
  <si>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</si>
  <si>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</si>
  <si>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</si>
  <si>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</si>
  <si>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</si>
  <si>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</si>
  <si>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</si>
  <si>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</si>
  <si>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</si>
  <si>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</si>
  <si>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</si>
  <si>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</si>
  <si>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</si>
  <si>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</si>
  <si>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</si>
  <si>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</si>
  <si>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</si>
  <si>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</si>
  <si>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</si>
  <si>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</si>
  <si>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</si>
  <si>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</si>
  <si>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</si>
  <si>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</si>
  <si>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</si>
  <si>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</si>
  <si>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</si>
  <si>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</si>
  <si>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</si>
  <si>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</si>
  <si>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</si>
  <si>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</si>
  <si>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</si>
  <si>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</si>
  <si>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</si>
  <si>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</si>
  <si>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</si>
  <si>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</si>
  <si>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</si>
  <si>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</si>
  <si>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</si>
  <si>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</si>
  <si>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</si>
  <si>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</si>
  <si>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</si>
  <si>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</si>
  <si>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</si>
  <si>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</si>
  <si>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</si>
  <si>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</si>
  <si>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</si>
  <si>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</si>
  <si>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</si>
  <si>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</si>
  <si>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</si>
  <si>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</si>
  <si>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</si>
  <si>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</si>
  <si>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</si>
  <si>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</si>
  <si>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</si>
  <si>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</si>
  <si>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</si>
  <si>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</si>
  <si>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</si>
  <si>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</si>
  <si>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</si>
  <si>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</si>
  <si>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</si>
  <si>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</si>
  <si>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</si>
  <si>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</si>
  <si>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</si>
  <si>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</si>
  <si>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</si>
  <si>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</si>
  <si>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</si>
  <si>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</si>
  <si>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</si>
  <si>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</si>
  <si>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</si>
  <si>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</si>
  <si>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</si>
  <si>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</si>
  <si>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</si>
  <si>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</si>
  <si>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</si>
  <si>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</si>
  <si>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</si>
  <si>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</si>
  <si>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</si>
  <si>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</si>
  <si>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</si>
  <si>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</si>
  <si>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</si>
  <si>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</si>
  <si>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</si>
  <si>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</si>
  <si>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</si>
  <si>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</si>
  <si>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</si>
  <si>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</si>
  <si>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</si>
  <si>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</si>
  <si>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</si>
  <si>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</si>
  <si>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</si>
  <si>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</si>
  <si>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</si>
  <si>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</si>
  <si>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</si>
  <si>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</si>
  <si>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</si>
  <si>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</si>
  <si>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</si>
  <si>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</si>
  <si>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</si>
  <si>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</si>
  <si>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</si>
  <si>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</si>
  <si>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</si>
  <si>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</si>
  <si>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</si>
  <si>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</si>
  <si>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</si>
  <si>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</si>
  <si>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</si>
  <si>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</si>
  <si>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</si>
  <si>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</si>
  <si>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</si>
  <si>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</si>
  <si>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</si>
  <si>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</si>
  <si>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</si>
  <si>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</si>
  <si>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</si>
  <si>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</si>
  <si>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</si>
  <si>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</si>
  <si>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</si>
  <si>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</si>
  <si>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</si>
  <si>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</si>
  <si>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</si>
  <si>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</si>
  <si>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</si>
  <si>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</si>
  <si>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</si>
  <si>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</si>
  <si>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</si>
  <si>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</si>
  <si>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</si>
  <si>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</si>
  <si>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</si>
  <si>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</si>
  <si>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</si>
  <si>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</si>
  <si>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</si>
  <si>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</si>
  <si>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</si>
  <si>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</si>
  <si>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</si>
  <si>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</si>
  <si>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</si>
  <si>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</si>
  <si>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</si>
  <si>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</si>
  <si>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</si>
  <si>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</si>
  <si>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</si>
  <si>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</si>
  <si>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</si>
  <si>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</si>
  <si>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</si>
  <si>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</si>
  <si>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</si>
  <si>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</si>
  <si>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</si>
  <si>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</si>
  <si>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</si>
  <si>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</si>
  <si>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</si>
  <si>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</si>
  <si>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</si>
  <si>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</si>
  <si>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</si>
  <si>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</si>
  <si>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</si>
  <si>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</si>
  <si>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</si>
  <si>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</si>
  <si>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</si>
  <si>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</si>
  <si>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</si>
  <si>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</si>
  <si>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</si>
  <si>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</si>
  <si>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</si>
  <si>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</si>
  <si>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</si>
  <si>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</si>
  <si>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</si>
  <si>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</si>
  <si>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</si>
  <si>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</si>
  <si>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</si>
  <si>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</si>
  <si>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</si>
  <si>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</si>
  <si>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</si>
  <si>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</si>
  <si>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</si>
  <si>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</si>
  <si>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</si>
  <si>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</si>
  <si>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</si>
  <si>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</si>
  <si>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</si>
  <si>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</si>
  <si>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</si>
  <si>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</si>
  <si>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</si>
  <si>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</si>
  <si>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</si>
  <si>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</si>
  <si>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</si>
  <si>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</si>
  <si>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</si>
  <si>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</si>
  <si>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</si>
  <si>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</si>
  <si>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</si>
  <si>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</si>
  <si>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</si>
  <si>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</si>
  <si>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</si>
  <si>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</si>
  <si>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</si>
  <si>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</si>
  <si>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</si>
  <si>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</si>
  <si>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</si>
  <si>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</si>
  <si>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</si>
  <si>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</si>
  <si>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</si>
  <si>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</si>
  <si>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</si>
  <si>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</si>
  <si>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</si>
  <si>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</si>
  <si>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</si>
  <si>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</si>
  <si>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</si>
  <si>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</si>
  <si>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</si>
  <si>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</si>
  <si>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</si>
  <si>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</si>
  <si>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</si>
  <si>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</si>
  <si>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</si>
  <si>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</si>
  <si>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</si>
  <si>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</si>
  <si>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</si>
  <si>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</si>
  <si>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</si>
  <si>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</si>
  <si>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</si>
  <si>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</si>
  <si>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</si>
  <si>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</si>
  <si>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</si>
  <si>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</si>
  <si>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</si>
  <si>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</si>
  <si>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</si>
  <si>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</si>
  <si>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</si>
  <si>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</si>
  <si>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</si>
  <si>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</si>
  <si>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</si>
  <si>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</si>
  <si>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</si>
  <si>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</si>
  <si>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</si>
  <si>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</si>
  <si>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</si>
  <si>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</si>
  <si>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</si>
  <si>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</si>
  <si>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</si>
  <si>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</si>
  <si>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</si>
  <si>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</si>
  <si>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</si>
  <si>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</si>
  <si>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</si>
  <si>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</si>
  <si>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</si>
  <si>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</si>
  <si>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</si>
  <si>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</si>
  <si>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</si>
  <si>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</si>
  <si>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</si>
  <si>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</si>
  <si>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</si>
  <si>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</si>
  <si>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</si>
  <si>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</si>
  <si>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</si>
  <si>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</si>
  <si>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</si>
  <si>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</si>
  <si>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</si>
  <si>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</si>
  <si>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</si>
  <si>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</si>
  <si>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</si>
  <si>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</si>
  <si>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</si>
  <si>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</si>
  <si>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</si>
  <si>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</si>
  <si>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</si>
  <si>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</si>
  <si>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</si>
  <si>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</si>
  <si>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</si>
  <si>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</si>
  <si>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</si>
  <si>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</si>
  <si>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</si>
  <si>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</si>
  <si>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</si>
  <si>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</si>
  <si>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</si>
  <si>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</si>
  <si>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</si>
  <si>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</si>
  <si>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</si>
  <si>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</si>
  <si>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</si>
  <si>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</si>
  <si>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</si>
  <si>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</si>
  <si>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</si>
  <si>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</si>
  <si>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</si>
  <si>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</si>
  <si>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</si>
  <si>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</si>
  <si>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</si>
  <si>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</si>
  <si>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</si>
  <si>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</si>
  <si>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</si>
  <si>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</si>
  <si>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</si>
  <si>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</si>
  <si>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</si>
  <si>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</si>
  <si>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</si>
  <si>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</si>
  <si>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</si>
  <si>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</si>
  <si>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</si>
  <si>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1- Pre-calculation of the values of the report.</t>
  </si>
  <si>
    <t>Variables</t>
  </si>
  <si>
    <t>Nom variable</t>
  </si>
  <si>
    <t>Description</t>
  </si>
  <si>
    <t>Valeur</t>
  </si>
  <si>
    <t>REPORTING_DATE</t>
  </si>
  <si>
    <t>La date fin de mois du pool des prêts</t>
  </si>
  <si>
    <t>NBE_PRETS_SELECTION</t>
  </si>
  <si>
    <t>Nombre de prets sur toute la selection.</t>
  </si>
  <si>
    <t>CRD_PRETS_SELECTION</t>
  </si>
  <si>
    <t>La somme des CRD des prêts dans la sélection</t>
  </si>
  <si>
    <t>CRD_PRETS_REGION_ALSACE</t>
  </si>
  <si>
    <t>CRD_PRETS_REGION_AQUITAINE</t>
  </si>
  <si>
    <t>CRD_PRETS_REGION_AUVERGNE</t>
  </si>
  <si>
    <t>CRD_PRETS_REGION_BASSE_NORMANDIE</t>
  </si>
  <si>
    <t>CRD_PRETS_REGION_BOURGOGNE</t>
  </si>
  <si>
    <t>CRD_PRETS_REGION_BRETAGNE</t>
  </si>
  <si>
    <t>CRD_PRETS_REGION_CENTRE</t>
  </si>
  <si>
    <t>CRD_PRETS_REGION_CHAMPAGNE_ARDENNES</t>
  </si>
  <si>
    <t>CRD_PRETS_REGION_CORSE</t>
  </si>
  <si>
    <t>CRD_PRETS_REGION_FRANCHE_COMTE</t>
  </si>
  <si>
    <t>CRD_PRETS_REGION_HAUTE_NORMANDIE</t>
  </si>
  <si>
    <t>CRD_PRETS_REGION_ILE_DE_FRANCE</t>
  </si>
  <si>
    <t>CRD_PRETS_REGION_LANGUEDOC_ROUSSILLON</t>
  </si>
  <si>
    <t>CRD_PRETS_REGION_LIMOUSIN</t>
  </si>
  <si>
    <t>CRD_PRETS_REGION_LORRAINE</t>
  </si>
  <si>
    <t>CRD_PRETS_REGION_MIDI_PYRENEES</t>
  </si>
  <si>
    <t>CRD_PRETS_REGION_NORD_PAS_DE_CALAIS</t>
  </si>
  <si>
    <t>CRD_PRETS_REGION_PAYS_DE_LA_LOIRE</t>
  </si>
  <si>
    <t>CRD_PRETS_REGION_PICARDIE</t>
  </si>
  <si>
    <t>CRD_PRETS_REGION_POITOU_CHARENTES</t>
  </si>
  <si>
    <t>CRD_PRETS_REGION_PROVENCE_ALPES_COTE_AZUR</t>
  </si>
  <si>
    <t>CRD_PRETS_REGION_RHONE_ALPES</t>
  </si>
  <si>
    <t>CRD_PRETS_REGION_AUVERGNE_RHONE_ALPES_2016</t>
  </si>
  <si>
    <t>CRD_PRETS_REGION_BOURGOGNE_FRANCHE_COMTE_2016</t>
  </si>
  <si>
    <t>CRD_PRETS_REGION_BRETAGNE_2016</t>
  </si>
  <si>
    <t>CRD_PRETS_REGION_CENTRE_VAL_DE_LOIRE_2016</t>
  </si>
  <si>
    <t>CRD_PRETS_REGION_CORSE_2016</t>
  </si>
  <si>
    <t>CRD_PRETS_REGION_GRAND_EST_2016</t>
  </si>
  <si>
    <t>CRD_PRETS_REGION_HAUTS_DE_FRANCE_2016</t>
  </si>
  <si>
    <t>CRD_PRETS_REGION_ILE_DE_FRANCE_2016</t>
  </si>
  <si>
    <t>CRD_PRETS_REGION_NORMANDIE_2016</t>
  </si>
  <si>
    <t>CRD_PRETS_REGION_NOUVELLE_AQUITAINE_2016</t>
  </si>
  <si>
    <t>CRD_PRETS_REGION_OCCITANIE_2016</t>
  </si>
  <si>
    <t>CRD_PRETS_REGION_PAYS_DE_LA_LOIRE_2016</t>
  </si>
  <si>
    <t>CRD_PRETS_REGION_PROVENCE_ALPES_COTE_AZUR_2016</t>
  </si>
  <si>
    <t>CRD_PRETS__0_UNINDEXED_LTV_40</t>
  </si>
  <si>
    <t>CRD des prets, UnIndexed LTV &lt;= 0.4</t>
  </si>
  <si>
    <t>CRD_PRETS__40_UNINDEXED_LTV_50</t>
  </si>
  <si>
    <t>CRD des prets, 0.4 &lt; UnIndexed LTV &lt;= 0.5</t>
  </si>
  <si>
    <t>CRD_PRETS__50_UNINDEXED_LTV_60</t>
  </si>
  <si>
    <t>CRD des prets, 0.5 &lt; UnIndexed LTV &lt;= 0.6</t>
  </si>
  <si>
    <t>CRD_PRETS__60_UNINDEXED_LTV_70</t>
  </si>
  <si>
    <t>CRD des prets, 0.6 &lt; UnIndexed LTV &lt;= 0.7</t>
  </si>
  <si>
    <t>CRD_PRETS__70_UNINDEXED_LTV_80</t>
  </si>
  <si>
    <t>CRD des prets, 0.7 &lt; UnIndexed LTV &lt;= 0.8</t>
  </si>
  <si>
    <t>CRD_PRETS__80_UNINDEXED_LTV_85</t>
  </si>
  <si>
    <t>CRD des prets, 0.80 &lt; UnIndexed LTV &lt;= 0.85</t>
  </si>
  <si>
    <t>CRD_PRETS__85_UNINDEXED_LTV_90</t>
  </si>
  <si>
    <t>CRD des prets, 0.85 &lt; UnIndexed LTV &lt;= 0.90</t>
  </si>
  <si>
    <t>CRD_PRETS__90_UNINDEXED_LTV_95</t>
  </si>
  <si>
    <t>CRD des prets, 0.90 &lt; UnIndexed LTV &lt;= 0.95</t>
  </si>
  <si>
    <t>CRD_PRETS__95_UNINDEXED_LTV_100</t>
  </si>
  <si>
    <t>CRD des prets, 0.95 &lt; UnIndexed LTV &lt;= 1.00</t>
  </si>
  <si>
    <t>CRD_PRETS__100_UNINDEXED_LTV_105</t>
  </si>
  <si>
    <t>CRD des prets, 1.00 &lt; UnIndexed LTV &lt;= 1.05</t>
  </si>
  <si>
    <t>CRD_PRETS__105_UNINDEXED_LTV_110</t>
  </si>
  <si>
    <t>CRD des prets, 1.05 &lt; UnIndexed LTV &lt;= 1.10</t>
  </si>
  <si>
    <t>CRD_PRETS__110_UNINDEXED_LTV_115</t>
  </si>
  <si>
    <t>CRD des prets, 1.10 &lt; UnIndexed LTV &lt;= 1.15</t>
  </si>
  <si>
    <t>CRD_PRETS__105_UNINDEXED_LTV</t>
  </si>
  <si>
    <t xml:space="preserve">CRD des prets, 1.05 &lt; UnIndexed LTV </t>
  </si>
  <si>
    <t>CRD_PRETS__115_UNINDEXED_LTV</t>
  </si>
  <si>
    <t xml:space="preserve">CRD des prets, 1.15 &lt; UnIndexed LTV </t>
  </si>
  <si>
    <t>NBE_PRETS__0_UNINDEXED_LTV_40</t>
  </si>
  <si>
    <t>Nbe prets, LTV &lt;= 0.4</t>
  </si>
  <si>
    <t>NBE_PRETS__40_UNINDEXED_LTV_50</t>
  </si>
  <si>
    <t>Nbe prets, 0.4 &lt; LTV &lt;= 0.5</t>
  </si>
  <si>
    <t>NBE_PRETS__50_UNINDEXED_LTV_60</t>
  </si>
  <si>
    <t>Nbe prets, 0.5 &lt; LTV &lt;= 0.6</t>
  </si>
  <si>
    <t>NBE_PRETS__60_UNINDEXED_LTV_70</t>
  </si>
  <si>
    <t>Nbe prets, 0.6 &lt; LTV &lt;= 0.7</t>
  </si>
  <si>
    <t>NBE_PRETS__70_UNINDEXED_LTV_80</t>
  </si>
  <si>
    <t>Nbe prets, 0.7 &lt; LTV &lt;= 0.8</t>
  </si>
  <si>
    <t>NBE_PRETS__80_UNINDEXED_LTV_85</t>
  </si>
  <si>
    <t>Nbe prets, 0.80 &lt; LTV &lt;= 0.85</t>
  </si>
  <si>
    <t>NBE_PRETS__85_UNINDEXED_LTV_90</t>
  </si>
  <si>
    <t>Nbe prets, 0.85 &lt; LTV &lt;= 0.90</t>
  </si>
  <si>
    <t>NBE_PRETS__90_UNINDEXED_LTV_95</t>
  </si>
  <si>
    <t>Nbe prets, 0.90 &lt; LTV &lt;= 0.95</t>
  </si>
  <si>
    <t>NBE_PRETS__95_UNINDEXED_LTV_100</t>
  </si>
  <si>
    <t>Nbe prets, 0.95 &lt; LTV &lt;= 1.00</t>
  </si>
  <si>
    <t>NBE_PRETS__100_UNINDEXED_LTV_105</t>
  </si>
  <si>
    <t>Nbe prets, 1.00 &lt; LTV &lt;= 1.05</t>
  </si>
  <si>
    <t>NBE_PRETS__105_UNINDEXED_LTV</t>
  </si>
  <si>
    <t xml:space="preserve">Nbe prets, 1.05 &lt; LTV </t>
  </si>
  <si>
    <t>CRD_PRETS__0_INDEXED_LTV_40</t>
  </si>
  <si>
    <t>CRD des prets, Indexed LTV &lt;= 0.4</t>
  </si>
  <si>
    <t>CRD_PRETS__40_INDEXED_LTV_50</t>
  </si>
  <si>
    <t>CRD des prets, 0.4 &lt; Indexed LTV &lt;= 0.5</t>
  </si>
  <si>
    <t>CRD_PRETS__50_INDEXED_LTV_60</t>
  </si>
  <si>
    <t>CRD des prets, 0.5 &lt; Indexed LTV &lt;= 0.6</t>
  </si>
  <si>
    <t>CRD_PRETS__60_INDEXED_LTV_70</t>
  </si>
  <si>
    <t>CRD des prets, 0.6 &lt; Indexed LTV &lt;= 0.7</t>
  </si>
  <si>
    <t>CRD_PRETS__70_INDEXED_LTV_80</t>
  </si>
  <si>
    <t>CRD des prets, 0.7 &lt; Indexed LTV &lt;= 0.8</t>
  </si>
  <si>
    <t>CRD_PRETS__80_INDEXED_LTV_85</t>
  </si>
  <si>
    <t>CRD des prets, 0.80 &lt; Indexed LTV &lt;= 0.85</t>
  </si>
  <si>
    <t>CRD_PRETS__85_INDEXED_LTV_90</t>
  </si>
  <si>
    <t>CRD des prets, 0.85 &lt; Indexed LTV &lt;= 0.90</t>
  </si>
  <si>
    <t>CRD_PRETS__90_INDEXED_LTV_95</t>
  </si>
  <si>
    <t>CRD des prets, 0.90 &lt; Indexed LTV &lt;= 0.95</t>
  </si>
  <si>
    <t>CRD_PRETS__95_INDEXED_LTV_100</t>
  </si>
  <si>
    <t>CRD des prets, 0.95 &lt; Indexed LTV &lt;= 1.00</t>
  </si>
  <si>
    <t>CRD_PRETS__100_INDEXED_LTV_105</t>
  </si>
  <si>
    <t>CRD des prets, 1.00 &lt; Indexed LTV &lt;= 1.05</t>
  </si>
  <si>
    <t>CRD_PRETS__105_INDEXED_LTV_110</t>
  </si>
  <si>
    <t>CRD des prets, 1.05 &lt; Indexed LTV &lt;= 1.10</t>
  </si>
  <si>
    <t>CRD_PRETS__110_INDEXED_LTV_115</t>
  </si>
  <si>
    <t>CRD des prets, 1.10 &lt; Indexed LTV &lt;= 1.15</t>
  </si>
  <si>
    <t>CRD_PRETS__105_INDEXED_LTV</t>
  </si>
  <si>
    <t xml:space="preserve">CRD des prets, 1.05 &lt; LTV </t>
  </si>
  <si>
    <t>CRD_PRETS__115_INDEXED_LTV</t>
  </si>
  <si>
    <t xml:space="preserve">CRD des prets, 1.15 &lt; LTV </t>
  </si>
  <si>
    <t>NBE_PRETS__0_INDEXED_LTV_40</t>
  </si>
  <si>
    <t>Nombre de prets, Indexed LTV &lt;= 0.4</t>
  </si>
  <si>
    <t>NBE_PRETS__40_INDEXED_LTV_50</t>
  </si>
  <si>
    <t>Nombre de prets, 0.4 &lt; Indexed LTV &lt;= 0.5</t>
  </si>
  <si>
    <t>NBE_PRETS__50_INDEXED_LTV_60</t>
  </si>
  <si>
    <t>Nombre de prets, 0.5 &lt; Indexed LTV &lt;= 0.6</t>
  </si>
  <si>
    <t>NBE_PRETS__60_INDEXED_LTV_70</t>
  </si>
  <si>
    <t>Nombre de prets, 0.6 &lt; Indexed LTV &lt;= 0.7</t>
  </si>
  <si>
    <t>NBE_PRETS__70_INDEXED_LTV_80</t>
  </si>
  <si>
    <t>Nombre de prets, 0.7 &lt; Indexed LTV &lt;= 0.8</t>
  </si>
  <si>
    <t>NBE_PRETS__80_INDEXED_LTV_85</t>
  </si>
  <si>
    <t>Nombre de prets, 0.80 &lt; Indexed LTV &lt;= 0.85</t>
  </si>
  <si>
    <t>NBE_PRETS__85_INDEXED_LTV_90</t>
  </si>
  <si>
    <t>Nombre de prets, 0.85 &lt; Indexed LTV &lt;= 0.90</t>
  </si>
  <si>
    <t>NBE_PRETS__90_INDEXED_LTV_95</t>
  </si>
  <si>
    <t>Nombre de prets, 0.90 &lt; Indexed LTV &lt;= 0.95</t>
  </si>
  <si>
    <t>NBE_PRETS__95_INDEXED_LTV_100</t>
  </si>
  <si>
    <t>Nombre de prets, 0.95 &lt; Indexed LTV &lt;= 1.00</t>
  </si>
  <si>
    <t>NBE_PRETS__100_INDEXED_LTV_105</t>
  </si>
  <si>
    <t>Nombre de prets, 1.00 &lt; Indexed LTV &lt;= 1.05</t>
  </si>
  <si>
    <t>NBE_PRETS__105_INDEXED_LTV</t>
  </si>
  <si>
    <t xml:space="preserve">Nombre de prets, 1.05 &lt; Indexed LTV </t>
  </si>
  <si>
    <t>CRD_PRETS_SEASONING_INF_12_MONTHS</t>
  </si>
  <si>
    <t>CRD des prets echeance (seasoning) inferieure a 12 mois.</t>
  </si>
  <si>
    <t>CRD_PRETS_SEASONING_12_24_MONTHS</t>
  </si>
  <si>
    <t>CRD des prets echeance (seasoning) entre 12 et 24 mois.</t>
  </si>
  <si>
    <t>CRD_PRETS_SEASONING_24_36_MONTHS</t>
  </si>
  <si>
    <t>CRD des prets echeance (seasoning) entre 24 et 36 mois.</t>
  </si>
  <si>
    <t>CRD_PRETS_SEASONING_36_48_MONTHS</t>
  </si>
  <si>
    <t>CRD des prets echeance (seasoning) entre 36 et 48 mois.</t>
  </si>
  <si>
    <t>CRD_PRETS_SEASONING_48_60_MONTHS</t>
  </si>
  <si>
    <t>CRD des prets echeance (seasoning) entre 48 et 60 mois.</t>
  </si>
  <si>
    <t>CRD_PRETS_SEASONING_60_120_MONTHS</t>
  </si>
  <si>
    <t>CRD des prets echeance (seasoning) entre 60 et 120 mois.</t>
  </si>
  <si>
    <t>CRD_PRETS_SEASONING_SUP_120_MONTHS</t>
  </si>
  <si>
    <t>CRD des prets echeance (seasoning) superieur 120 mois.</t>
  </si>
  <si>
    <t>CRD_PRETS_SEASONING_36_60_MONTHS</t>
  </si>
  <si>
    <t>CRD des prets echeance (seasoning) entre 36 et 60 mois.</t>
  </si>
  <si>
    <t>CRD_PRETS_SEASONING_SUP_60_MONTHS</t>
  </si>
  <si>
    <t>CRD des prets echeance (seasoning) superieure 60 mois.</t>
  </si>
  <si>
    <t>CRD_PRETS_OCCUPANCYTYPE_OWNEROCCUPIED__TOUTES_UNINDEXED_LTV</t>
  </si>
  <si>
    <t>CRD des prets occupancy type owner-occupied, toutes LTV</t>
  </si>
  <si>
    <t>CRD_PRETS_OCCUPANCYTYPE_VACATIONSECONDHOME__TOUTES_UNINDEXED_LTV</t>
  </si>
  <si>
    <t>CRD des prets occupancy type vacation second home, toutes LTV</t>
  </si>
  <si>
    <t>CRD_PRETS_LOAN_PURPOSE_LOCATION</t>
  </si>
  <si>
    <t>CRD des prets pour Location.</t>
  </si>
  <si>
    <t>NBE_PRETS_TRANCHE_0_200000</t>
  </si>
  <si>
    <t>Nombre de prets dans la tranche 0 &lt; CRD &lt;= 200 000 EUR.</t>
  </si>
  <si>
    <t>NBE_PRETS_TRANCHE_200000_400000</t>
  </si>
  <si>
    <t>Nombre de prets dans la tranche 200 000 &lt; CRD &lt;= 400 000 EUR.</t>
  </si>
  <si>
    <t>NBE_PRETS_TRANCHE_400000_600000</t>
  </si>
  <si>
    <t>Nombre de prets dans la tranche 400 000 &lt; CRD &lt;= 600 000 EUR.</t>
  </si>
  <si>
    <t>NBE_PRETS_TRANCHE_600000_800000</t>
  </si>
  <si>
    <t>Nombre de prets dans la tranche 600 000 &lt; CRD &lt;= 800 000 EUR.</t>
  </si>
  <si>
    <t>NBE_PRETS_TRANCHE_800000_1000000</t>
  </si>
  <si>
    <t>Nombre de prets dans la tranche 800 000 &lt; CRD &lt;= 1 000 000 EUR.</t>
  </si>
  <si>
    <t>NBE_PRETS_TRANCHE_SUP_1000000</t>
  </si>
  <si>
    <t>Nombre de prets dans la tranche CRD &gt; 1 000 000 EUR.</t>
  </si>
  <si>
    <t>CRD_PRETS_TRANCHE_0_200000</t>
  </si>
  <si>
    <t>CRD des prets dans la tranche 0 &lt; CRD &lt;= 200 000 EUR.</t>
  </si>
  <si>
    <t>CRD_PRETS_TRANCHE_200000_400000</t>
  </si>
  <si>
    <t>CRD des prets dans la tranche 200 000 &lt; CRD &lt;= 400 000 EUR.</t>
  </si>
  <si>
    <t>CRD_PRETS_TRANCHE_400000_600000</t>
  </si>
  <si>
    <t>CRD des prets dans la tranche 400 000 &lt; CRD &lt;= 600 000 EUR.</t>
  </si>
  <si>
    <t>CRD_PRETS_TRANCHE_600000_800000</t>
  </si>
  <si>
    <t>CRD des prets dans la tranche 600 000 &lt; CRD &lt;= 800 000 EUR.</t>
  </si>
  <si>
    <t>CRD_PRETS_TRANCHE_800000_1000000</t>
  </si>
  <si>
    <t>CRD des prets dans la tranche 800 000 &lt; CRD &lt;= 1 000 000 EUR.</t>
  </si>
  <si>
    <t>CRD_PRETS_TRANCHE_SUP_1000000</t>
  </si>
  <si>
    <t>CRD des prets dans la tranche CRD &gt; 1 000 000 EUR.</t>
  </si>
  <si>
    <t>CRD_PRETS_PROFESSION_EMPRUNTEUR_EMPLOYE</t>
  </si>
  <si>
    <t>CRD des prets dont emprunteur est un employe.</t>
  </si>
  <si>
    <t>CRD_PRETS_PROFESSION_EMPRUNTEUR_FONCTIONNAIRE</t>
  </si>
  <si>
    <t>CRD des prets dont emprunteur est un fonctionnaire.</t>
  </si>
  <si>
    <t>CRD_PRETS_PROFESSION_EMPRUNTEUR_A_SON_COMPTE</t>
  </si>
  <si>
    <t>CRD des prets dont emprunteur est a son compte.</t>
  </si>
  <si>
    <t>CRD_PRETS_PROFESSION_EMPRUNTEUR_RETRAITE_PENSION</t>
  </si>
  <si>
    <t>CRD des prets dont emprunteur est retraite ou sous pension.</t>
  </si>
  <si>
    <t>CRD_PRETS_PROFESSION_EMPRUNTEUR_AUTRE_INACTIF</t>
  </si>
  <si>
    <t>CRD des prets dont emprunteur est inactif autre.</t>
  </si>
  <si>
    <t>CRD_PRETS_PROFESSION_EMPRUNTEUR_INCONNUE</t>
  </si>
  <si>
    <t>CRD des prets dont emprunteur est inconnue.</t>
  </si>
  <si>
    <t>CRD_PRETS_LOAN_PURPOSE_RESIDENCE_PRINCIPALE</t>
  </si>
  <si>
    <t>CRD des prets pour Usage Personnel, Residence Principale.</t>
  </si>
  <si>
    <t>CRD_PRETS_LOAN_PURPOSE_RESIDENCE_SECONDAIRE</t>
  </si>
  <si>
    <t>CRD des prets pour Usage Personnel, Residence Secondaire.</t>
  </si>
  <si>
    <t>CRD_PRETS_LOAN_PURPOSE_AUTRE</t>
  </si>
  <si>
    <t>CRD des prets pour usage autre que residence principale secondaire, location.</t>
  </si>
  <si>
    <t>CRD_PRETS_LOAN_PURPOSE_NO_DATA</t>
  </si>
  <si>
    <t>CRD des prets usage non rempli.</t>
  </si>
  <si>
    <t>CRD_PRETS_RATE_TYPE_FIXERATE__TOUTES_UNINDEXED_LTV</t>
  </si>
  <si>
    <t>CRD des prets taux fixe, toutes LTV</t>
  </si>
  <si>
    <t>CRD_PRETS_RATE_TYPE_FLOATINGRATE__TOUTES_UNINDEXED_LTV</t>
  </si>
  <si>
    <t>CRD des prets taux variable, toutes LTV</t>
  </si>
  <si>
    <t>CRD_PRETS__5_LARGEST_EXPOSURES</t>
  </si>
  <si>
    <t>CRD des 5 prets dont les CRD est le plus haut.</t>
  </si>
  <si>
    <t>CRD_PRETS__10_LARGEST_EXPOSURES</t>
  </si>
  <si>
    <t>CRD des 10 prets dont les CRD est le plus haut.</t>
  </si>
  <si>
    <t>AVERAGE_CURRENT_UNINDEXED_LTV</t>
  </si>
  <si>
    <t>Unindexed LTV ponderee par le CRD des prets (0-1).</t>
  </si>
  <si>
    <t>AVERAGE_CURRENT_INDEXED_LTV</t>
  </si>
  <si>
    <t>Indexed LTV ponderee par le CRD des prets (0-1).</t>
  </si>
  <si>
    <t>CRD_PRETS__GARANTIE_HYPOTHEQUE</t>
  </si>
  <si>
    <t>CRD des prets dont la garantie est de type Hypothèque H</t>
  </si>
  <si>
    <t>CRD_PRETS__GARANTIE_CREDIT_LOGEMENT</t>
  </si>
  <si>
    <t>CRD des prets dont la garantie est de type Crédit Logement O</t>
  </si>
  <si>
    <t>BONDS_AMOUNT</t>
  </si>
  <si>
    <t>Valeur des bonds/obligations emises pour une date donnee.</t>
  </si>
  <si>
    <t>BONDS_AMOUNT_EUR</t>
  </si>
  <si>
    <t>Le nominal des obligations emises en EUR pour une date donnee exprime en EUR.</t>
  </si>
  <si>
    <t>BONDS_AMOUNT_CHF</t>
  </si>
  <si>
    <t>Le nominal des obligations emises en CHF pour une date donnee exprime en EUR.</t>
  </si>
  <si>
    <t>CRD_PRETS_ELIGIBLES_PRIS_PAR_AUTRE_APPLICATION</t>
  </si>
  <si>
    <t>CRD prets eligibles pris par une selection sur autre application sur dates equivalentes.</t>
  </si>
  <si>
    <t>CRD_PRETS_SELECTIONNES_SFH_ELIGIBLES_ACC</t>
  </si>
  <si>
    <t>CRD prets selectionnes par SFH et eligibles sur une autre application (ACC) meme pool.</t>
  </si>
  <si>
    <t>PRETS_REMBOURSEMENT_CRD_0_1_AN</t>
  </si>
  <si>
    <t>CRD rembouse sur les prets entre reporting_date et reporting_date plus 1 an.</t>
  </si>
  <si>
    <t>PRETS_REMBOURSEMENT_CRD_1_2_ANS</t>
  </si>
  <si>
    <t>CRD rembourse sur les prets entre reporting_date +1 an et reporting_date +2 ans.</t>
  </si>
  <si>
    <t>PRETS_REMBOURSEMENT_CRD_2_3_ANS</t>
  </si>
  <si>
    <t>CRD rembourse sur les prets entre reporting_date +2 ans et reporting_date +3 ans.</t>
  </si>
  <si>
    <t>PRETS_REMBOURSEMENT_CRD_3_4_ANS</t>
  </si>
  <si>
    <t>CRD rembourse sur les prets entre reporting_date +3 ans et reporting_date +4 ans.</t>
  </si>
  <si>
    <t>PRETS_REMBOURSEMENT_CRD_4_5_ANS</t>
  </si>
  <si>
    <t>CRD rembourse sur les prets entre reporting_date +4 ans et reporting_date +5 ans.</t>
  </si>
  <si>
    <t>PRETS_REMBOURSEMENT_CRD_5_10_ANS</t>
  </si>
  <si>
    <t>CRD rembourse sur les prets entre reporting_date +5 ans et reporting_date +10 ans.</t>
  </si>
  <si>
    <t>PRETS_REMBOURSEMENT_CRD_APRES_10_ANS</t>
  </si>
  <si>
    <t>CRD rembourse sur les prets entre reporting_date +10 ans et infini.</t>
  </si>
  <si>
    <t>PRETS_REMBOURSEMENT_CRD_0_1_AN_AVEC_REMB_ANTICIPE</t>
  </si>
  <si>
    <t>CRD rembouse sur les prets avec remb anticipe entre reporting_date et reporting_date plus 1 an.</t>
  </si>
  <si>
    <t>PRETS_REMBOURSEMENT_CRD_1_2_ANS_AVEC_REMB_ANTICIPE</t>
  </si>
  <si>
    <t>CRD rembouse sur prets avec remb anticipe entre reporting_date plus 1an et reporting_date plus 2ans.</t>
  </si>
  <si>
    <t>PRETS_REMBOURSEMENT_CRD_2_3_ANS_AVEC_REMB_ANTICIPE</t>
  </si>
  <si>
    <t>CRD rembouse sur prets avec remb anticipe entre reporting_date plus 2ans et reporting_date plus 3ans</t>
  </si>
  <si>
    <t>PRETS_REMBOURSEMENT_CRD_3_4_ANS_AVEC_REMB_ANTICIPE</t>
  </si>
  <si>
    <t>CRD rembouse sur prets avec remb anticipe entre reporting_date plus 3ans et reporting_date plus 4ans</t>
  </si>
  <si>
    <t>PRETS_REMBOURSEMENT_CRD_4_5_ANS_AVEC_REMB_ANTICIPE</t>
  </si>
  <si>
    <t>CRD rembouse sur prets avec remb anticipe entre reporting_date plus 4ans et reporting_date plus 5ans</t>
  </si>
  <si>
    <t>PRETS_REMBOURSEMENT_CRD_5_10_ANS_AVEC_REMB_ANTICIPE</t>
  </si>
  <si>
    <t>CRD rembouse sur prets avec remb anticipe entre reporting_date plus 5ans et reporting_date + 10ans</t>
  </si>
  <si>
    <t>PRETS_REMBOURSEMENT_CRD_APRES_10_ANS_AVEC_REMB_ANTICIPE</t>
  </si>
  <si>
    <t>CRD rembouse sur prets avec remb anticipe entre reporting_date +10 ans et infini.</t>
  </si>
  <si>
    <t>CRD_PRET_REMBOURSEMENT_IN_FINE</t>
  </si>
  <si>
    <t>CRD des prets dont le remboursement du capital est fait in fine (L21.CODE = I)</t>
  </si>
  <si>
    <t>CRD_PRET_REMBOURSEMENT_ECHEANCES_CONSTANTES</t>
  </si>
  <si>
    <t>CRD des prets dont le remboursement se fait par échéances constantes (L21.CODE = C)</t>
  </si>
  <si>
    <t>CRD_PRET_REMBOURSEMENT_AUTRE</t>
  </si>
  <si>
    <t>CRD des prets dont le remboursement du capital est pas constant ni in fine.</t>
  </si>
  <si>
    <t>WAL_CONTRACTUAL_YEARS</t>
  </si>
  <si>
    <t>Nombre annees moyenne de duree de vie des prets pondere par le CRD.</t>
  </si>
  <si>
    <t>WAL_EXPECTED_YEARS</t>
  </si>
  <si>
    <t>Nombre annees moyenne duree de vie prets pondere par le CRD avec remboursement anticipe de 7%.</t>
  </si>
  <si>
    <t>WAL_BONDS_CONTRACTUAL_YEARS</t>
  </si>
  <si>
    <t>Nombre annees moyenne de duree de vie des bonds pondere par la valeur mensuelle des bonds.</t>
  </si>
  <si>
    <t>WAL_BONDS_YEARS</t>
  </si>
  <si>
    <t>Nombres annees de duree de vie des bonds avec diff MATURITY_DATE et REPORTING_DATE.</t>
  </si>
  <si>
    <t>BONDS_EXTENDED_MATURITY_YEARS</t>
  </si>
  <si>
    <t>Annees de duree de vie des bonds. Diff MATURITY_DATE ou EXTENDIBLE_MATURITY_DATE / REPORTING_DATE.</t>
  </si>
  <si>
    <t>BONDS_AMOUNT_EXPIRE_0_1_AN</t>
  </si>
  <si>
    <t>Valeur des bonds/obligations expirant entre reporting_date et reporting_date + 1an.</t>
  </si>
  <si>
    <t>BONDS_AMOUNT_EXPIRE_1_2_ANS</t>
  </si>
  <si>
    <t>Valeur des bonds/obligations expirant entre reporting_date +1an et reporting_date +2ans.</t>
  </si>
  <si>
    <t>BONDS_AMOUNT_EXPIRE_2_3_ANS</t>
  </si>
  <si>
    <t>Valeur des bonds/obligations expirant entre reporting_date +2ans et reporting_date +3ans.</t>
  </si>
  <si>
    <t>BONDS_AMOUNT_EXPIRE_3_4_ANS</t>
  </si>
  <si>
    <t>Valeur des bonds/obligations expirant entre reporting_date +3ans et reporting_date +4ans.</t>
  </si>
  <si>
    <t>BONDS_AMOUNT_EXPIRE_4_5_ANS</t>
  </si>
  <si>
    <t>Valeur des bonds/obligations expirant entre reporting_date +4ans et reporting_date +5ans.</t>
  </si>
  <si>
    <t>BONDS_AMOUNT_EXPIRE_5_10_ANS</t>
  </si>
  <si>
    <t>Valeur des bonds/obligations expirant entre reporting_date +5ans et reporting_date +10ans.</t>
  </si>
  <si>
    <t>BONDS_AMOUNT_EXPIRE_APRES_10_ANS</t>
  </si>
  <si>
    <t>Valeur des bonds/obligations expirant apres reporting_date +10ans.</t>
  </si>
  <si>
    <t>BONDS_AMOUNT_SOFT_BULLET_EXPIRE_0_1_AN</t>
  </si>
  <si>
    <t>Valeur des bondss de type soft bullet expirant entre reporting_date et reporting_date + 1an.</t>
  </si>
  <si>
    <t>BONDS_AMOUNT_SOFT_BULLET_EXPIRE_1_2_ANS</t>
  </si>
  <si>
    <t>Valeur des bondss de type soft bullet expirant entre reporting_date +1an et reporting_date +2ans.</t>
  </si>
  <si>
    <t>BONDS_AMOUNT_SOFT_BULLET_EXPIRE_2_3_ANS</t>
  </si>
  <si>
    <t>Valeur des bondss de type soft bullet expirant entre reporting_date +2ans et reporting_date +3ans.</t>
  </si>
  <si>
    <t>BONDS_AMOUNT_SOFT_BULLET_EXPIRE_3_4_ANS</t>
  </si>
  <si>
    <t>Valeur des bondss de type soft bullet expirant entre reporting_date +3ans et reporting_date +4ans.</t>
  </si>
  <si>
    <t>BONDS_AMOUNT_SOFT_BULLET_EXPIRE_4_5_ANS</t>
  </si>
  <si>
    <t>Valeur des bondss de type soft bullet expirant entre reporting_date +4ans et reporting_date +5ans.</t>
  </si>
  <si>
    <t>BONDS_AMOUNT_SOFT_BULLET_EXPIRE_5_10_ANS</t>
  </si>
  <si>
    <t>Valeur des bonds de type soft bullet expirant entre reporting_date +5ans et reporting_date +10ans.</t>
  </si>
  <si>
    <t>BONDS_AMOUNT_SOFT_BULLET_EXPIRE_APRES_10_ANS</t>
  </si>
  <si>
    <t>Valeur des bonds de type soft bullet expirant apres reporting_date +10ans.</t>
  </si>
  <si>
    <t>BONDS_EMIS_ANNEE_N</t>
  </si>
  <si>
    <t>Montant des bonds emis pour l'année en cours.</t>
  </si>
  <si>
    <t>BONDS_EMIS_ANNEE_N_MOINS_UN</t>
  </si>
  <si>
    <t>Montant des bonds emis pour l'année -1.</t>
  </si>
  <si>
    <t>BONDS_EMIS_ANNEE_N_MOINS_DEUX</t>
  </si>
  <si>
    <t>Montant des bonds emis pour l'année -2.</t>
  </si>
  <si>
    <t>BONDS_EMIS_ANNEE_N_MOINS_TROIS</t>
  </si>
  <si>
    <t>Montant des bonds emis pour l'année -3.</t>
  </si>
  <si>
    <t>PERMITTED_INSTRUMENTS</t>
  </si>
  <si>
    <t>Valeur courante de "Permitted Instruments" (ou tresorerie contractuelle).</t>
  </si>
  <si>
    <t>LIABILITIES_EQUITY</t>
  </si>
  <si>
    <t>Valeur provenant du classeur comptable trimestriel</t>
  </si>
  <si>
    <t>LIABILITIES_OTHER_NON_PRIVILEGED_LIABILITIES</t>
  </si>
  <si>
    <t>LIABILITIES_OTHER_PRIVILEGED_LIABILITIES</t>
  </si>
  <si>
    <t>AVERAGE_SEASONING</t>
  </si>
  <si>
    <t>Nombres de mois de vie des prets pondere par le CRD.</t>
  </si>
  <si>
    <t>AVERAGE_REMAINING_TERM</t>
  </si>
  <si>
    <t>Nombres de mois restant sur les prets pondere par le CRD.</t>
  </si>
  <si>
    <t>CORE_TIER1_RATIO</t>
  </si>
  <si>
    <t>Le ratio Tier 1 fournit par l'ALM (%).</t>
  </si>
  <si>
    <t>LEGAL_COVERAGE_RATIO_MINIMUM</t>
  </si>
  <si>
    <t>Onglet "D.Overview", section 2.3 (%).</t>
  </si>
  <si>
    <t>LEGAL_COVERAGE_RATIO_CURRENT</t>
  </si>
  <si>
    <t>Onglet "D.Overview", section 2.3 (%). Ration de couverture courant.</t>
  </si>
  <si>
    <t>COVID19_NOMINAL</t>
  </si>
  <si>
    <t>Le CRD de tous les prêts COVID19 de la sélection SFH.</t>
  </si>
  <si>
    <t>COVID19_NBE_PRETS</t>
  </si>
  <si>
    <t>Le nombre de prêts COVID19 dans la sélection SFH.</t>
  </si>
  <si>
    <t>HSBC SFH (France)</t>
  </si>
  <si>
    <t>http://www.about.hsbc.fr/fr-fr/hsbc-sfh-france-disclaimer</t>
  </si>
  <si>
    <t>http://www.ecbc.eu/issuers</t>
  </si>
  <si>
    <t>Auvergne Rhône-Alpes</t>
  </si>
  <si>
    <t>Bourgogne Franche-Comté</t>
  </si>
  <si>
    <t>Bretagne</t>
  </si>
  <si>
    <t>Centre-Val de Loire</t>
  </si>
  <si>
    <t>Corse</t>
  </si>
  <si>
    <t>Grand Est</t>
  </si>
  <si>
    <t>Hauts de France</t>
  </si>
  <si>
    <t>Ile-de-France (Paris included)</t>
  </si>
  <si>
    <t>Normandie</t>
  </si>
  <si>
    <t>Nouvelle Aquitaine</t>
  </si>
  <si>
    <t>Occitanie</t>
  </si>
  <si>
    <t>Pays de la Loire</t>
  </si>
  <si>
    <t>Provence-Alpes-Côte d'Azur</t>
  </si>
  <si>
    <t>DOM-TOM</t>
  </si>
  <si>
    <t>0-200k€</t>
  </si>
  <si>
    <t>200-400k€</t>
  </si>
  <si>
    <t>400-600k€</t>
  </si>
  <si>
    <t>600-800k€</t>
  </si>
  <si>
    <t>800-1M€</t>
  </si>
  <si>
    <t>&gt;1M€</t>
  </si>
  <si>
    <t>FRENCH NATIONAL COVERED BOND LABEL REPORTING TEMPLATE</t>
  </si>
  <si>
    <t xml:space="preserve">CB ISSUER </t>
  </si>
  <si>
    <t>HSBC SFH ( France )</t>
  </si>
  <si>
    <t xml:space="preserve">Reporting date </t>
  </si>
  <si>
    <t>GROUP LEVEL  INFORMATION AND SENIOR UNSECURED RATINGS</t>
  </si>
  <si>
    <t>1.1</t>
  </si>
  <si>
    <t>Group</t>
  </si>
  <si>
    <t>HSBC Continental Europe</t>
  </si>
  <si>
    <t>Group parent company</t>
  </si>
  <si>
    <t>Group consolidated financial information (link)</t>
  </si>
  <si>
    <t>http://www.about.hsbc.fr/fr-fr/investor-relations/regulatory-information</t>
  </si>
  <si>
    <t>1.2</t>
  </si>
  <si>
    <t>Rating</t>
  </si>
  <si>
    <t>Rating Watch</t>
  </si>
  <si>
    <t>Outlook</t>
  </si>
  <si>
    <t>Senior unsecured rating (group parent company)</t>
  </si>
  <si>
    <t>Fitch</t>
  </si>
  <si>
    <t>AA-</t>
  </si>
  <si>
    <t>Stable</t>
  </si>
  <si>
    <t>Moody's</t>
  </si>
  <si>
    <t>S&amp;P</t>
  </si>
  <si>
    <t>1.3</t>
  </si>
  <si>
    <t>Rating watch</t>
  </si>
  <si>
    <t>Covered bond issuer rating (senior unsecured)</t>
  </si>
  <si>
    <t>N/A</t>
  </si>
  <si>
    <t>1.4</t>
  </si>
  <si>
    <t xml:space="preserve">Common equity tier 1 ratio (%) (group parent company) </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</si>
  <si>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</si>
  <si>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</si>
  <si>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</si>
  <si>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</si>
  <si>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</si>
  <si>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</si>
  <si>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</si>
  <si>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</si>
  <si>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</si>
  <si>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</si>
  <si>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</si>
  <si>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</si>
  <si>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</si>
  <si>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</si>
  <si>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</si>
  <si>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</si>
  <si>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</si>
  <si>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</si>
  <si>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</si>
  <si>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</si>
  <si>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</si>
  <si>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</si>
  <si>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</si>
  <si>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</si>
  <si>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</si>
  <si>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</si>
  <si>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2.4</t>
  </si>
  <si>
    <t>Covered bonds ratings</t>
  </si>
  <si>
    <t>Covered bonds rating</t>
  </si>
  <si>
    <t>Aaa</t>
  </si>
  <si>
    <t>Not on watch</t>
  </si>
  <si>
    <t>AAA</t>
  </si>
  <si>
    <t>2.5</t>
  </si>
  <si>
    <t>Liabilities of the covered bond issuer</t>
  </si>
  <si>
    <t>LIABILITIES</t>
  </si>
  <si>
    <t>Outstanding</t>
  </si>
  <si>
    <t>Equity</t>
  </si>
  <si>
    <t>Due to crédit institutions</t>
  </si>
  <si>
    <t>Other non privileged liabilities</t>
  </si>
  <si>
    <t>Total equity and non privileged liabilities</t>
  </si>
  <si>
    <t>Other privileged liabilities</t>
  </si>
  <si>
    <t>Total privileged liabilities</t>
  </si>
  <si>
    <t>TOTAL</t>
  </si>
  <si>
    <t>2.6</t>
  </si>
  <si>
    <t>Information required under article 129(7) CRR </t>
  </si>
  <si>
    <t>(i)                  Value of the cover pool and outstanding covered bonds : please refer to section 2.2</t>
  </si>
  <si>
    <t>(ii)              Geographical distribution : please refer to section 4.3 (residential), 5.2 , 5.3 and 5.4 (public sector)</t>
  </si>
  <si>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</si>
  <si>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</si>
  <si>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</si>
  <si>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</si>
  <si>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</si>
  <si>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 (Covered bonds tab/worksheet)</t>
  </si>
  <si>
    <t xml:space="preserve">(iii)            Maturity structure of cover assets and covered bonds : please refer to  section 3.1, 3.2 and 3.3 </t>
  </si>
  <si>
    <t xml:space="preserve">(iv)               Percentage of loans more than ninety days past due : please refer to section 4.1 (residential) and 5.1 (public sector) </t>
  </si>
  <si>
    <t>2.7</t>
  </si>
  <si>
    <t>Compliance with the article  129 CRR in full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</si>
  <si>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</si>
  <si>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</si>
  <si>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</si>
  <si>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</si>
  <si>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</si>
  <si>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</si>
  <si>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</si>
  <si>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</si>
  <si>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</si>
  <si>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</si>
  <si>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</si>
  <si>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</si>
  <si>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</si>
  <si>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</si>
  <si>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</si>
  <si>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</si>
  <si>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</si>
  <si>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</si>
  <si>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</si>
  <si>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</si>
  <si>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</si>
  <si>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</si>
  <si>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</si>
  <si>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</si>
  <si>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</si>
  <si>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</si>
  <si>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</si>
  <si>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</si>
  <si>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</si>
  <si>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</si>
  <si>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</si>
  <si>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</si>
  <si>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</si>
  <si>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</si>
  <si>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</si>
  <si>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</si>
  <si>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</si>
  <si>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</si>
  <si>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</si>
  <si>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</si>
  <si>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</si>
  <si>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</si>
  <si>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</si>
  <si>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</si>
  <si>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</si>
  <si>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</si>
  <si>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</si>
  <si>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</si>
  <si>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</si>
  <si>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</si>
  <si>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</si>
  <si>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</si>
  <si>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</si>
  <si>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</si>
  <si>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4.2</t>
  </si>
  <si>
    <t>Arrears and defaulted loans outstanding (including external MBS)</t>
  </si>
  <si>
    <t>Zone</t>
  </si>
  <si>
    <t>%</t>
  </si>
  <si>
    <t>EU</t>
  </si>
  <si>
    <t>4.3</t>
  </si>
  <si>
    <t>Regional breakdown of assets (excluding external MBS)</t>
  </si>
  <si>
    <t>Region</t>
  </si>
  <si>
    <t>http:</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</si>
  <si>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</si>
  <si>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</si>
  <si>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</si>
  <si>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</si>
  <si>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</si>
  <si>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</si>
  <si>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</si>
  <si>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</si>
  <si>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</si>
  <si>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</si>
  <si>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</si>
  <si>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</si>
  <si>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</si>
  <si>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</si>
  <si>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</si>
  <si>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</si>
  <si>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</si>
  <si>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</si>
  <si>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</si>
  <si>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</si>
  <si>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</si>
  <si>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</si>
  <si>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</si>
  <si>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</si>
  <si>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</si>
  <si>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</si>
  <si>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</si>
  <si>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</si>
  <si>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</si>
  <si>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total guarantees</t>
  </si>
  <si>
    <t xml:space="preserve"> </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</si>
  <si>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</si>
  <si>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</si>
  <si>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</si>
  <si>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</si>
  <si>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</si>
  <si>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</si>
  <si>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</si>
  <si>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</si>
  <si>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</si>
  <si>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</si>
  <si>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</si>
  <si>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</si>
  <si>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</si>
  <si>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</si>
  <si>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</si>
  <si>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</si>
  <si>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</si>
  <si>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</si>
  <si>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</si>
  <si>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</si>
  <si>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</si>
  <si>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</si>
  <si>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</si>
  <si>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</si>
  <si>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</si>
  <si>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</si>
  <si>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</si>
  <si>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</si>
  <si>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</si>
  <si>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</si>
  <si>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 and large exposures (excluding external MBS)</t>
  </si>
  <si>
    <t>Average outstanding balance (€)</t>
  </si>
  <si>
    <t>% of total
cover pool</t>
  </si>
  <si>
    <t>5 largest exposures (%)</t>
  </si>
  <si>
    <t>10 largest exposures (%)</t>
  </si>
  <si>
    <t xml:space="preserve">Number of loans </t>
  </si>
  <si>
    <t>Outstanding (k€)</t>
  </si>
  <si>
    <t>% of total cover pool (outstanding)</t>
  </si>
  <si>
    <t>800-1000k€</t>
  </si>
  <si>
    <t>&gt;1000k€</t>
  </si>
  <si>
    <t xml:space="preserve">TOTAL </t>
  </si>
  <si>
    <t>4.13</t>
  </si>
  <si>
    <t>Residential MBS</t>
  </si>
  <si>
    <t>Internal RMBS DETAILS</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</si>
  <si>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</si>
  <si>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</si>
  <si>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</si>
  <si>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</si>
  <si>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</si>
  <si>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</si>
  <si>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</si>
  <si>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</si>
  <si>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</si>
  <si>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</si>
  <si>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</si>
  <si>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</si>
  <si>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</si>
  <si>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</si>
  <si>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</si>
  <si>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</si>
  <si>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CHF</t>
  </si>
  <si>
    <t>6.2</t>
  </si>
  <si>
    <t>Issuance</t>
  </si>
  <si>
    <t>Option 1</t>
  </si>
  <si>
    <t>none</t>
  </si>
  <si>
    <t>A1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</si>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</sst>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 #,##0.00_ ;_ * \-#,##0.00_ ;_ * &quot;-&quot;??_ ;_ @_ "/>
    <numFmt numFmtId="165" formatCode="0.0%"/>
    <numFmt numFmtId="166" formatCode="#,##0.0"/>
    <numFmt numFmtId="167" formatCode="0.0"/>
    <numFmt numFmtId="168" formatCode="_-* #,##0\ _€_-;\-* #,##0\ _€_-;_-* &quot;-&quot;??\ _€_-;_-@_-"/>
    <numFmt numFmtId="169" formatCode="_(* #,##0_);_(* \(#,##0\);_(* &quot;-&quot;??_);_(@_)"/>
    <numFmt numFmtId="170" formatCode="_(* #,##0.000000000_);_(* \(#,##0.000000000\);_(* &quot;-&quot;??_);_(@_)"/>
    <numFmt numFmtId="171" formatCode="#,##0\ &quot;€&quot;"/>
    <numFmt numFmtId="172" formatCode="#,##0.00\ &quot;€&quot;"/>
    <numFmt numFmtId="173" formatCode="&quot;Reporting Date: &quot;\ dd/mm/yy"/>
    <numFmt numFmtId="174" formatCode="&quot;Cut-off Date: &quot;\ dd/mm/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u/>
      <sz val="11"/>
      <color theme="1"/>
      <name val="Calibri"/>
      <family val="2"/>
      <scheme val="minor"/>
    </font>
    <font>
      <u/>
      <sz val="11"/>
      <color theme="1"/>
      <name val="Calibri"/>
      <family val="2"/>
      <scheme val="minor"/>
    </font>
    <font>
      <sz val="9"/>
      <color indexed="81"/>
      <name val="Tahoma"/>
      <family val="2"/>
    </font>
    <font>
      <b/>
      <sz val="9"/>
      <color indexed="81"/>
      <name val="Tahoma"/>
      <family val="2"/>
    </font>
    <font>
      <b/>
      <sz val="10"/>
      <color indexed="9"/>
      <name val="Arial"/>
      <family val="2"/>
    </font>
    <font>
      <b/>
      <sz val="10"/>
      <name val="Arial"/>
      <family val="2"/>
    </font>
    <font>
      <b/>
      <sz val="10"/>
      <color indexed="10"/>
      <name val="Arial"/>
      <family val="2"/>
    </font>
    <font>
      <u/>
      <sz val="10"/>
      <color indexed="12"/>
      <name val="Arial"/>
      <family val="2"/>
    </font>
    <font>
      <sz val="10"/>
      <color indexed="9"/>
      <name val="Arial"/>
      <family val="2"/>
    </font>
    <font>
      <sz val="10"/>
      <color indexed="12"/>
      <name val="Arial"/>
      <family val="2"/>
    </font>
    <font>
      <sz val="10"/>
      <color indexed="10"/>
      <name val="Arial"/>
      <family val="2"/>
    </font>
    <font>
      <b/>
      <u/>
      <sz val="10"/>
      <name val="Arial"/>
      <family val="2"/>
    </font>
    <font>
      <u/>
      <sz val="10"/>
      <name val="Arial"/>
      <family val="2"/>
    </font>
    <font>
      <b/>
      <i/>
      <sz val="10"/>
      <name val="Arial"/>
      <family val="2"/>
    </font>
    <font>
      <i/>
      <sz val="10"/>
      <name val="Arial"/>
      <family val="2"/>
    </font>
    <font>
      <sz val="10"/>
      <color rgb="FFFF0000"/>
      <name val="Arial"/>
      <family val="2"/>
    </font>
    <font>
      <sz val="11"/>
      <name val="Calibri"/>
      <family val="2"/>
    </font>
    <font>
      <b/>
      <sz val="9"/>
      <color indexed="9"/>
      <name val="Arial"/>
      <family val="2"/>
    </font>
    <font>
      <b/>
      <i/>
      <sz val="10"/>
      <color indexed="9"/>
      <name val="Arial"/>
      <family val="2"/>
    </font>
    <font>
      <sz val="10"/>
      <color indexed="23"/>
      <name val="Arial"/>
      <family val="2"/>
    </font>
    <font>
      <b/>
      <sz val="10"/>
      <color indexed="23"/>
      <name val="Arial"/>
      <family val="2"/>
    </font>
    <font>
      <sz val="8"/>
      <name val="MS Sans Serif"/>
      <family val="2"/>
    </font>
    <font>
      <b/>
      <u/>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indexed="8"/>
        <bgColor indexed="64"/>
      </patternFill>
    </fill>
    <fill>
      <patternFill patternType="solid">
        <fgColor indexed="10"/>
        <bgColor indexed="64"/>
      </patternFill>
    </fill>
    <fill>
      <patternFill patternType="solid">
        <fgColor indexed="22"/>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57" fillId="0" borderId="0" applyNumberFormat="0" applyFill="0" applyBorder="0" applyAlignment="0" applyProtection="0">
      <alignment vertical="top"/>
      <protection locked="0"/>
    </xf>
    <xf numFmtId="43" fontId="28" fillId="0" borderId="0" applyFont="0" applyFill="0" applyBorder="0" applyAlignment="0" applyProtection="0"/>
    <xf numFmtId="9" fontId="28" fillId="0" borderId="0" applyFont="0" applyFill="0" applyBorder="0" applyAlignment="0" applyProtection="0"/>
    <xf numFmtId="43" fontId="4" fillId="0" borderId="0" applyFont="0" applyFill="0" applyBorder="0" applyAlignment="0" applyProtection="0"/>
    <xf numFmtId="0" fontId="28" fillId="0" borderId="0"/>
    <xf numFmtId="0" fontId="28" fillId="0" borderId="0"/>
  </cellStyleXfs>
  <cellXfs count="9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50" fillId="0" borderId="0" xfId="0" applyFont="1"/>
    <xf numFmtId="0" fontId="51" fillId="0" borderId="33" xfId="0" applyFont="1" applyBorder="1"/>
    <xf numFmtId="0" fontId="51" fillId="0" borderId="34" xfId="0" applyFont="1" applyBorder="1"/>
    <xf numFmtId="0" fontId="51" fillId="0" borderId="35" xfId="0" applyFont="1" applyBorder="1"/>
    <xf numFmtId="0" fontId="0" fillId="0" borderId="36" xfId="0" applyBorder="1"/>
    <xf numFmtId="0" fontId="0" fillId="0" borderId="13" xfId="0" applyBorder="1"/>
    <xf numFmtId="14" fontId="0" fillId="0" borderId="37" xfId="0" applyNumberFormat="1" applyBorder="1"/>
    <xf numFmtId="0" fontId="0" fillId="0" borderId="37" xfId="0" applyBorder="1"/>
    <xf numFmtId="3" fontId="0" fillId="0" borderId="37" xfId="0" applyNumberFormat="1" applyBorder="1"/>
    <xf numFmtId="4" fontId="0" fillId="0" borderId="37" xfId="0" applyNumberFormat="1" applyBorder="1"/>
    <xf numFmtId="22" fontId="0" fillId="0" borderId="0" xfId="0" applyNumberFormat="1"/>
    <xf numFmtId="0" fontId="0" fillId="0" borderId="38" xfId="0" applyBorder="1"/>
    <xf numFmtId="0" fontId="0" fillId="0" borderId="39" xfId="0" applyBorder="1"/>
    <xf numFmtId="4" fontId="0" fillId="0" borderId="40" xfId="0" applyNumberFormat="1" applyBorder="1"/>
    <xf numFmtId="0" fontId="0" fillId="0" borderId="41" xfId="0" applyBorder="1"/>
    <xf numFmtId="0" fontId="28" fillId="0" borderId="36" xfId="5" applyBorder="1"/>
    <xf numFmtId="0" fontId="28" fillId="0" borderId="13" xfId="5" applyBorder="1"/>
    <xf numFmtId="4" fontId="0" fillId="0" borderId="37" xfId="5" applyNumberFormat="1" applyFont="1" applyBorder="1"/>
    <xf numFmtId="0" fontId="28" fillId="0" borderId="0" xfId="5"/>
    <xf numFmtId="0" fontId="0" fillId="8" borderId="38" xfId="0" applyFill="1" applyBorder="1"/>
    <xf numFmtId="0" fontId="0" fillId="8" borderId="39" xfId="0" applyFill="1" applyBorder="1"/>
    <xf numFmtId="4" fontId="0" fillId="8" borderId="40" xfId="0" applyNumberFormat="1" applyFill="1" applyBorder="1"/>
    <xf numFmtId="3" fontId="0" fillId="0" borderId="40" xfId="0" applyNumberFormat="1" applyBorder="1"/>
    <xf numFmtId="0" fontId="0" fillId="0" borderId="42" xfId="0" applyBorder="1"/>
    <xf numFmtId="0" fontId="0" fillId="0" borderId="43" xfId="0" applyBorder="1"/>
    <xf numFmtId="0" fontId="0" fillId="0" borderId="44" xfId="0" applyBorder="1"/>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8" fillId="9" borderId="0" xfId="9" applyFill="1" applyAlignment="1">
      <alignment horizontal="center"/>
    </xf>
    <xf numFmtId="0" fontId="54" fillId="9" borderId="0" xfId="9" applyFont="1" applyFill="1" applyAlignment="1"/>
    <xf numFmtId="0" fontId="28" fillId="9" borderId="0" xfId="9" applyFill="1" applyAlignment="1"/>
    <xf numFmtId="0" fontId="28" fillId="0" borderId="0" xfId="9" applyAlignment="1">
      <alignment horizontal="center"/>
    </xf>
    <xf numFmtId="0" fontId="28" fillId="0" borderId="0" xfId="9" applyAlignment="1"/>
    <xf numFmtId="0" fontId="55" fillId="0" borderId="0" xfId="9" applyFont="1" applyAlignment="1">
      <alignment horizontal="right"/>
    </xf>
    <xf numFmtId="14" fontId="28" fillId="0" borderId="48" xfId="9" applyNumberFormat="1" applyBorder="1" applyAlignment="1">
      <alignment horizontal="center"/>
    </xf>
    <xf numFmtId="0" fontId="56" fillId="0" borderId="1" xfId="9" quotePrefix="1" applyFont="1" applyBorder="1" applyAlignment="1"/>
    <xf numFmtId="0" fontId="42" fillId="0" borderId="0" xfId="9" applyFont="1" applyAlignment="1"/>
    <xf numFmtId="0" fontId="54" fillId="9" borderId="0" xfId="9" applyFont="1" applyFill="1" applyAlignment="1">
      <alignment horizontal="center"/>
    </xf>
    <xf numFmtId="0" fontId="54" fillId="10" borderId="1" xfId="9" applyFont="1" applyFill="1" applyBorder="1" applyAlignment="1"/>
    <xf numFmtId="0" fontId="54" fillId="10" borderId="2" xfId="9" applyFont="1" applyFill="1" applyBorder="1" applyAlignment="1"/>
    <xf numFmtId="0" fontId="54" fillId="10" borderId="52" xfId="9" applyFont="1" applyFill="1" applyBorder="1" applyAlignment="1"/>
    <xf numFmtId="0" fontId="54" fillId="10" borderId="12" xfId="9" applyFont="1" applyFill="1" applyBorder="1" applyAlignment="1"/>
    <xf numFmtId="0" fontId="54" fillId="10" borderId="6" xfId="9" applyFont="1" applyFill="1" applyBorder="1" applyAlignment="1"/>
    <xf numFmtId="0" fontId="54" fillId="10" borderId="7" xfId="9" applyFont="1" applyFill="1" applyBorder="1" applyAlignment="1"/>
    <xf numFmtId="0" fontId="58" fillId="0" borderId="2" xfId="9" applyFont="1" applyBorder="1" applyAlignment="1"/>
    <xf numFmtId="0" fontId="57" fillId="0" borderId="0" xfId="10" applyFill="1" applyBorder="1" applyAlignment="1" applyProtection="1"/>
    <xf numFmtId="0" fontId="58" fillId="0" borderId="0" xfId="9" applyFont="1" applyAlignment="1"/>
    <xf numFmtId="0" fontId="28" fillId="0" borderId="5" xfId="9" applyBorder="1" applyAlignment="1"/>
    <xf numFmtId="0" fontId="54" fillId="10" borderId="1" xfId="9" applyFont="1" applyFill="1" applyBorder="1" applyAlignment="1">
      <alignment horizontal="center"/>
    </xf>
    <xf numFmtId="0" fontId="54" fillId="10" borderId="57" xfId="9" applyFont="1" applyFill="1" applyBorder="1" applyAlignment="1">
      <alignment horizontal="center"/>
    </xf>
    <xf numFmtId="0" fontId="54" fillId="10" borderId="3" xfId="9" applyFont="1" applyFill="1" applyBorder="1" applyAlignment="1">
      <alignment horizontal="center"/>
    </xf>
    <xf numFmtId="0" fontId="54" fillId="10" borderId="33" xfId="9" applyFont="1" applyFill="1" applyBorder="1" applyAlignment="1"/>
    <xf numFmtId="0" fontId="54" fillId="10" borderId="34" xfId="9" applyFont="1" applyFill="1" applyBorder="1" applyAlignment="1"/>
    <xf numFmtId="0" fontId="28" fillId="0" borderId="34" xfId="0" applyFont="1" applyBorder="1" applyAlignment="1">
      <alignment horizontal="center"/>
    </xf>
    <xf numFmtId="0" fontId="28" fillId="0" borderId="34" xfId="9" applyBorder="1" applyAlignment="1">
      <alignment horizontal="center"/>
    </xf>
    <xf numFmtId="0" fontId="28" fillId="0" borderId="35" xfId="0" applyFont="1" applyBorder="1" applyAlignment="1">
      <alignment horizontal="center"/>
    </xf>
    <xf numFmtId="0" fontId="54" fillId="10" borderId="36" xfId="9" applyFont="1" applyFill="1" applyBorder="1" applyAlignment="1"/>
    <xf numFmtId="0" fontId="54" fillId="10" borderId="13" xfId="9" applyFont="1" applyFill="1" applyBorder="1" applyAlignment="1"/>
    <xf numFmtId="0" fontId="28" fillId="0" borderId="13" xfId="0" applyFont="1" applyBorder="1" applyAlignment="1">
      <alignment horizontal="center"/>
    </xf>
    <xf numFmtId="0" fontId="28" fillId="0" borderId="13" xfId="9" applyBorder="1" applyAlignment="1">
      <alignment horizontal="center"/>
    </xf>
    <xf numFmtId="0" fontId="28" fillId="0" borderId="37" xfId="9" applyBorder="1" applyAlignment="1">
      <alignment horizontal="center"/>
    </xf>
    <xf numFmtId="0" fontId="54" fillId="10" borderId="42" xfId="9" applyFont="1" applyFill="1" applyBorder="1" applyAlignment="1"/>
    <xf numFmtId="0" fontId="54" fillId="10" borderId="43" xfId="9" applyFont="1" applyFill="1" applyBorder="1" applyAlignment="1"/>
    <xf numFmtId="0" fontId="28" fillId="0" borderId="43" xfId="0" applyFont="1" applyBorder="1" applyAlignment="1">
      <alignment horizontal="center"/>
    </xf>
    <xf numFmtId="0" fontId="28" fillId="0" borderId="43" xfId="9" applyBorder="1" applyAlignment="1">
      <alignment horizontal="center"/>
    </xf>
    <xf numFmtId="0" fontId="28" fillId="0" borderId="44" xfId="0" applyFont="1" applyBorder="1" applyAlignment="1">
      <alignment horizontal="center"/>
    </xf>
    <xf numFmtId="0" fontId="59" fillId="0" borderId="0" xfId="9" applyFont="1" applyAlignment="1">
      <alignment horizontal="center"/>
    </xf>
    <xf numFmtId="0" fontId="54" fillId="10" borderId="58" xfId="9" applyFont="1" applyFill="1" applyBorder="1" applyAlignment="1">
      <alignment horizontal="center"/>
    </xf>
    <xf numFmtId="0" fontId="54" fillId="10" borderId="59" xfId="9" applyFont="1" applyFill="1" applyBorder="1" applyAlignment="1">
      <alignment horizontal="center"/>
    </xf>
    <xf numFmtId="0" fontId="54" fillId="10" borderId="60" xfId="9" applyFont="1" applyFill="1" applyBorder="1" applyAlignment="1">
      <alignment horizontal="center"/>
    </xf>
    <xf numFmtId="0" fontId="54" fillId="10" borderId="57" xfId="9" applyFont="1" applyFill="1" applyBorder="1" applyAlignment="1"/>
    <xf numFmtId="0" fontId="28" fillId="0" borderId="61" xfId="9" applyBorder="1" applyAlignment="1">
      <alignment horizontal="center"/>
    </xf>
    <xf numFmtId="0" fontId="59" fillId="0" borderId="62" xfId="9" applyFont="1" applyBorder="1" applyAlignment="1">
      <alignment horizontal="center"/>
    </xf>
    <xf numFmtId="0" fontId="59" fillId="0" borderId="63" xfId="9" applyFont="1" applyBorder="1" applyAlignment="1">
      <alignment horizontal="center"/>
    </xf>
    <xf numFmtId="0" fontId="54" fillId="10" borderId="4" xfId="9" applyFont="1" applyFill="1" applyBorder="1" applyAlignment="1"/>
    <xf numFmtId="0" fontId="54" fillId="10" borderId="0" xfId="9" applyFont="1" applyFill="1" applyAlignment="1"/>
    <xf numFmtId="0" fontId="28" fillId="0" borderId="10" xfId="9" applyBorder="1" applyAlignment="1">
      <alignment horizontal="center"/>
    </xf>
    <xf numFmtId="0" fontId="59" fillId="0" borderId="13" xfId="9" applyFont="1" applyBorder="1" applyAlignment="1">
      <alignment horizontal="center"/>
    </xf>
    <xf numFmtId="0" fontId="59" fillId="0" borderId="37" xfId="9" applyFont="1" applyBorder="1" applyAlignment="1">
      <alignment horizontal="center"/>
    </xf>
    <xf numFmtId="0" fontId="54" fillId="10" borderId="64" xfId="9" applyFont="1" applyFill="1" applyBorder="1" applyAlignment="1"/>
    <xf numFmtId="0" fontId="28" fillId="0" borderId="65" xfId="9" applyBorder="1" applyAlignment="1">
      <alignment horizontal="center"/>
    </xf>
    <xf numFmtId="0" fontId="59" fillId="0" borderId="43" xfId="9" applyFont="1" applyBorder="1" applyAlignment="1">
      <alignment horizontal="center"/>
    </xf>
    <xf numFmtId="0" fontId="59" fillId="0" borderId="44" xfId="9" applyFont="1" applyBorder="1" applyAlignment="1">
      <alignment horizontal="center"/>
    </xf>
    <xf numFmtId="0" fontId="54" fillId="10" borderId="2" xfId="9" applyFont="1" applyFill="1" applyBorder="1" applyAlignment="1">
      <alignment horizontal="right"/>
    </xf>
    <xf numFmtId="165" fontId="28" fillId="0" borderId="66" xfId="0" applyNumberFormat="1" applyFont="1" applyBorder="1" applyAlignment="1">
      <alignment horizontal="center"/>
    </xf>
    <xf numFmtId="0" fontId="60" fillId="0" borderId="0" xfId="9" applyFont="1" applyAlignment="1"/>
    <xf numFmtId="0" fontId="54" fillId="10" borderId="67" xfId="9" applyFont="1" applyFill="1" applyBorder="1" applyAlignment="1">
      <alignment horizontal="right"/>
    </xf>
    <xf numFmtId="14" fontId="28" fillId="0" borderId="8" xfId="0" applyNumberFormat="1" applyFont="1" applyBorder="1" applyAlignment="1">
      <alignment horizontal="center"/>
    </xf>
    <xf numFmtId="0" fontId="61" fillId="0" borderId="0" xfId="9" applyFont="1" applyAlignment="1"/>
    <xf numFmtId="0" fontId="55" fillId="0" borderId="0" xfId="9" applyFont="1" applyAlignment="1"/>
    <xf numFmtId="0" fontId="54" fillId="10" borderId="68" xfId="9" applyFont="1" applyFill="1" applyBorder="1" applyAlignment="1"/>
    <xf numFmtId="0" fontId="54" fillId="10" borderId="55" xfId="9" applyFont="1" applyFill="1" applyBorder="1" applyAlignment="1"/>
    <xf numFmtId="0" fontId="58" fillId="0" borderId="46" xfId="9" applyFont="1" applyBorder="1" applyAlignment="1"/>
    <xf numFmtId="0" fontId="62" fillId="0" borderId="46" xfId="10" applyFont="1" applyFill="1" applyBorder="1" applyAlignment="1" applyProtection="1"/>
    <xf numFmtId="0" fontId="28" fillId="0" borderId="2" xfId="9" applyBorder="1" applyAlignment="1"/>
    <xf numFmtId="0" fontId="54" fillId="10" borderId="69" xfId="9" applyFont="1" applyFill="1" applyBorder="1" applyAlignment="1"/>
    <xf numFmtId="0" fontId="54" fillId="10" borderId="50" xfId="9" applyFont="1" applyFill="1" applyBorder="1" applyAlignment="1"/>
    <xf numFmtId="0" fontId="57" fillId="0" borderId="35" xfId="10" applyBorder="1" applyAlignment="1" applyProtection="1"/>
    <xf numFmtId="0" fontId="28" fillId="0" borderId="4" xfId="9" applyBorder="1" applyAlignment="1"/>
    <xf numFmtId="0" fontId="28" fillId="4" borderId="61" xfId="9" applyFill="1" applyBorder="1" applyAlignment="1">
      <alignment horizontal="center"/>
    </xf>
    <xf numFmtId="0" fontId="28" fillId="4" borderId="54" xfId="9" applyFill="1" applyBorder="1" applyAlignment="1">
      <alignment horizontal="center"/>
    </xf>
    <xf numFmtId="0" fontId="54" fillId="10" borderId="70" xfId="9" applyFont="1" applyFill="1" applyBorder="1" applyAlignment="1">
      <alignment horizontal="center"/>
    </xf>
    <xf numFmtId="0" fontId="54" fillId="10" borderId="66" xfId="9" applyFont="1" applyFill="1" applyBorder="1" applyAlignment="1">
      <alignment horizontal="center"/>
    </xf>
    <xf numFmtId="0" fontId="28" fillId="0" borderId="4" xfId="9" applyBorder="1" applyAlignment="1">
      <alignment horizontal="center"/>
    </xf>
    <xf numFmtId="0" fontId="28" fillId="0" borderId="7" xfId="9" applyBorder="1" applyAlignment="1"/>
    <xf numFmtId="0" fontId="54" fillId="10" borderId="71" xfId="9" applyFont="1" applyFill="1" applyBorder="1" applyAlignment="1">
      <alignment horizontal="center"/>
    </xf>
    <xf numFmtId="0" fontId="54" fillId="10" borderId="72" xfId="9" applyFont="1" applyFill="1" applyBorder="1" applyAlignment="1">
      <alignment horizontal="center"/>
    </xf>
    <xf numFmtId="0" fontId="54" fillId="10" borderId="73" xfId="9" applyFont="1" applyFill="1" applyBorder="1" applyAlignment="1"/>
    <xf numFmtId="43" fontId="28" fillId="0" borderId="73" xfId="9" applyNumberFormat="1" applyBorder="1" applyAlignment="1"/>
    <xf numFmtId="0" fontId="28" fillId="0" borderId="35" xfId="9" applyBorder="1" applyAlignment="1"/>
    <xf numFmtId="0" fontId="54" fillId="10" borderId="10" xfId="9" applyFont="1" applyFill="1" applyBorder="1" applyAlignment="1"/>
    <xf numFmtId="0" fontId="54" fillId="10" borderId="11" xfId="9" applyFont="1" applyFill="1" applyBorder="1" applyAlignment="1"/>
    <xf numFmtId="43" fontId="60" fillId="0" borderId="13" xfId="9" applyNumberFormat="1" applyFont="1" applyBorder="1" applyAlignment="1"/>
    <xf numFmtId="0" fontId="28" fillId="0" borderId="37" xfId="9" applyBorder="1" applyAlignment="1"/>
    <xf numFmtId="168" fontId="28" fillId="0" borderId="13" xfId="9" applyNumberFormat="1" applyBorder="1" applyAlignment="1">
      <alignment horizontal="right"/>
    </xf>
    <xf numFmtId="168" fontId="28" fillId="0" borderId="37" xfId="9" applyNumberFormat="1" applyBorder="1" applyAlignment="1">
      <alignment horizontal="right"/>
    </xf>
    <xf numFmtId="0" fontId="54" fillId="10" borderId="54" xfId="9" applyFont="1" applyFill="1" applyBorder="1" applyAlignment="1"/>
    <xf numFmtId="0" fontId="54" fillId="10" borderId="74" xfId="9" applyFont="1" applyFill="1" applyBorder="1" applyAlignment="1"/>
    <xf numFmtId="43" fontId="28" fillId="0" borderId="64" xfId="9" applyNumberFormat="1" applyBorder="1" applyAlignment="1"/>
    <xf numFmtId="0" fontId="28" fillId="0" borderId="44" xfId="9" applyBorder="1" applyAlignment="1"/>
    <xf numFmtId="0" fontId="54" fillId="10" borderId="45" xfId="9" applyFont="1" applyFill="1" applyBorder="1" applyAlignment="1"/>
    <xf numFmtId="0" fontId="54" fillId="10" borderId="46" xfId="9" applyFont="1" applyFill="1" applyBorder="1" applyAlignment="1"/>
    <xf numFmtId="168" fontId="28" fillId="0" borderId="59" xfId="11" applyNumberFormat="1" applyFont="1" applyBorder="1"/>
    <xf numFmtId="0" fontId="54" fillId="10" borderId="75" xfId="9" applyFont="1" applyFill="1" applyBorder="1" applyAlignment="1"/>
    <xf numFmtId="168" fontId="26" fillId="0" borderId="60" xfId="11" applyNumberFormat="1" applyFont="1" applyFill="1" applyBorder="1"/>
    <xf numFmtId="0" fontId="54" fillId="10" borderId="45" xfId="9" applyFont="1" applyFill="1" applyBorder="1" applyAlignment="1">
      <alignment horizontal="center" wrapText="1"/>
    </xf>
    <xf numFmtId="0" fontId="54" fillId="10" borderId="60" xfId="9" applyFont="1" applyFill="1" applyBorder="1" applyAlignment="1">
      <alignment horizontal="center" wrapText="1"/>
    </xf>
    <xf numFmtId="165" fontId="28" fillId="0" borderId="57" xfId="9" applyNumberFormat="1" applyBorder="1" applyAlignment="1">
      <alignment horizontal="center"/>
    </xf>
    <xf numFmtId="165" fontId="28" fillId="0" borderId="66" xfId="9" applyNumberFormat="1" applyBorder="1" applyAlignment="1">
      <alignment horizontal="center"/>
    </xf>
    <xf numFmtId="165" fontId="28" fillId="0" borderId="13" xfId="9" applyNumberFormat="1" applyBorder="1" applyAlignment="1">
      <alignment horizontal="center"/>
    </xf>
    <xf numFmtId="165" fontId="28" fillId="0" borderId="37" xfId="9" applyNumberFormat="1" applyBorder="1" applyAlignment="1">
      <alignment horizontal="center"/>
    </xf>
    <xf numFmtId="10" fontId="56" fillId="0" borderId="0" xfId="12" quotePrefix="1" applyNumberFormat="1" applyFont="1" applyFill="1"/>
    <xf numFmtId="165" fontId="28" fillId="0" borderId="43" xfId="9" applyNumberFormat="1" applyBorder="1" applyAlignment="1">
      <alignment horizontal="center"/>
    </xf>
    <xf numFmtId="165" fontId="28" fillId="0" borderId="72" xfId="9" applyNumberFormat="1" applyBorder="1" applyAlignment="1">
      <alignment horizontal="center"/>
    </xf>
    <xf numFmtId="0" fontId="54" fillId="0" borderId="0" xfId="9" applyFont="1" applyAlignment="1"/>
    <xf numFmtId="0" fontId="28" fillId="0" borderId="62" xfId="9" applyBorder="1" applyAlignment="1">
      <alignment horizontal="center"/>
    </xf>
    <xf numFmtId="0" fontId="28" fillId="0" borderId="63" xfId="9" applyBorder="1" applyAlignment="1">
      <alignment horizontal="center"/>
    </xf>
    <xf numFmtId="0" fontId="28" fillId="0" borderId="44" xfId="9" applyBorder="1" applyAlignment="1">
      <alignment horizontal="center"/>
    </xf>
    <xf numFmtId="0" fontId="63" fillId="0" borderId="0" xfId="9" applyFont="1" applyAlignment="1"/>
    <xf numFmtId="0" fontId="64" fillId="0" borderId="0" xfId="9" applyFont="1" applyAlignment="1">
      <alignment horizontal="center"/>
    </xf>
    <xf numFmtId="0" fontId="54" fillId="10" borderId="47" xfId="9" applyFont="1" applyFill="1" applyBorder="1" applyAlignment="1">
      <alignment horizontal="center"/>
    </xf>
    <xf numFmtId="168" fontId="0" fillId="0" borderId="53" xfId="13" applyNumberFormat="1" applyFont="1" applyFill="1" applyBorder="1"/>
    <xf numFmtId="3" fontId="28" fillId="0" borderId="0" xfId="9" applyNumberFormat="1" applyAlignment="1"/>
    <xf numFmtId="0" fontId="54" fillId="10" borderId="75" xfId="9" applyFont="1" applyFill="1" applyBorder="1" applyAlignment="1">
      <alignment horizontal="right"/>
    </xf>
    <xf numFmtId="168" fontId="0" fillId="0" borderId="47" xfId="11" applyNumberFormat="1" applyFont="1" applyFill="1" applyBorder="1"/>
    <xf numFmtId="0" fontId="54" fillId="10" borderId="76" xfId="9" applyFont="1" applyFill="1" applyBorder="1" applyAlignment="1"/>
    <xf numFmtId="0" fontId="54" fillId="10" borderId="77" xfId="9" applyFont="1" applyFill="1" applyBorder="1" applyAlignment="1"/>
    <xf numFmtId="0" fontId="54" fillId="10" borderId="9" xfId="9" applyFont="1" applyFill="1" applyBorder="1" applyAlignment="1"/>
    <xf numFmtId="168" fontId="0" fillId="0" borderId="78" xfId="11" applyNumberFormat="1" applyFont="1" applyFill="1" applyBorder="1"/>
    <xf numFmtId="0" fontId="54" fillId="10" borderId="79" xfId="9" applyFont="1" applyFill="1" applyBorder="1" applyAlignment="1"/>
    <xf numFmtId="0" fontId="54" fillId="10" borderId="80" xfId="9" applyFont="1" applyFill="1" applyBorder="1" applyAlignment="1"/>
    <xf numFmtId="0" fontId="54" fillId="10" borderId="81" xfId="9" applyFont="1" applyFill="1" applyBorder="1" applyAlignment="1"/>
    <xf numFmtId="3" fontId="65" fillId="0" borderId="0" xfId="9" applyNumberFormat="1" applyFont="1" applyAlignment="1">
      <alignment horizontal="right" indent="1"/>
    </xf>
    <xf numFmtId="0" fontId="65" fillId="0" borderId="0" xfId="9" applyFont="1" applyAlignment="1"/>
    <xf numFmtId="0" fontId="65" fillId="0" borderId="0" xfId="9" applyFont="1" applyAlignment="1">
      <alignment horizontal="center"/>
    </xf>
    <xf numFmtId="0" fontId="66" fillId="0" borderId="0" xfId="9" applyFont="1" applyAlignment="1">
      <alignment vertical="top"/>
    </xf>
    <xf numFmtId="3" fontId="28" fillId="0" borderId="0" xfId="9" applyNumberFormat="1" applyAlignment="1">
      <alignment horizontal="right" indent="1"/>
    </xf>
    <xf numFmtId="0" fontId="28" fillId="0" borderId="0" xfId="9" applyAlignment="1">
      <alignment vertical="top"/>
    </xf>
    <xf numFmtId="0" fontId="66" fillId="0" borderId="0" xfId="9" applyFont="1" applyAlignment="1">
      <alignment horizontal="left"/>
    </xf>
    <xf numFmtId="0" fontId="66" fillId="0" borderId="0" xfId="9" applyFont="1" applyAlignment="1">
      <alignment vertical="center"/>
    </xf>
    <xf numFmtId="0" fontId="54" fillId="0" borderId="0" xfId="9" applyFont="1" applyAlignment="1">
      <alignment horizontal="center"/>
    </xf>
    <xf numFmtId="0" fontId="58" fillId="0" borderId="7" xfId="9" applyFont="1" applyBorder="1" applyAlignment="1"/>
    <xf numFmtId="0" fontId="58" fillId="0" borderId="8" xfId="9" applyFont="1" applyBorder="1" applyAlignment="1"/>
    <xf numFmtId="0" fontId="67" fillId="10" borderId="82" xfId="9" applyFont="1" applyFill="1" applyBorder="1" applyAlignment="1">
      <alignment horizontal="center"/>
    </xf>
    <xf numFmtId="0" fontId="67" fillId="10" borderId="3" xfId="9" applyFont="1" applyFill="1" applyBorder="1" applyAlignment="1">
      <alignment horizontal="center"/>
    </xf>
    <xf numFmtId="2" fontId="28" fillId="0" borderId="83" xfId="9" applyNumberFormat="1" applyBorder="1" applyAlignment="1"/>
    <xf numFmtId="2" fontId="28" fillId="0" borderId="3" xfId="9" applyNumberFormat="1" applyBorder="1" applyAlignment="1"/>
    <xf numFmtId="2" fontId="28" fillId="0" borderId="84" xfId="0" applyNumberFormat="1" applyFont="1" applyBorder="1" applyAlignment="1">
      <alignment horizontal="center"/>
    </xf>
    <xf numFmtId="2" fontId="28" fillId="0" borderId="53" xfId="9" applyNumberFormat="1" applyBorder="1" applyAlignment="1"/>
    <xf numFmtId="2" fontId="60" fillId="0" borderId="52" xfId="9" applyNumberFormat="1" applyFont="1" applyBorder="1" applyAlignment="1"/>
    <xf numFmtId="2" fontId="60" fillId="0" borderId="85" xfId="9" applyNumberFormat="1" applyFont="1" applyBorder="1" applyAlignment="1"/>
    <xf numFmtId="2" fontId="60" fillId="0" borderId="53" xfId="9" applyNumberFormat="1" applyFont="1" applyBorder="1" applyAlignment="1"/>
    <xf numFmtId="0" fontId="56" fillId="0" borderId="0" xfId="9" applyFont="1" applyAlignment="1"/>
    <xf numFmtId="2" fontId="28" fillId="0" borderId="4" xfId="9" applyNumberFormat="1" applyBorder="1" applyAlignment="1"/>
    <xf numFmtId="2" fontId="28" fillId="0" borderId="86" xfId="9" applyNumberFormat="1" applyBorder="1" applyAlignment="1"/>
    <xf numFmtId="2" fontId="28" fillId="0" borderId="84" xfId="9" applyNumberFormat="1" applyBorder="1" applyAlignment="1"/>
    <xf numFmtId="2" fontId="28" fillId="0" borderId="87" xfId="9" applyNumberFormat="1" applyBorder="1" applyAlignment="1">
      <alignment horizontal="center"/>
    </xf>
    <xf numFmtId="2" fontId="28" fillId="0" borderId="87" xfId="9" applyNumberFormat="1" applyBorder="1" applyAlignment="1"/>
    <xf numFmtId="0" fontId="55" fillId="0" borderId="7" xfId="9" applyFont="1" applyBorder="1" applyAlignment="1"/>
    <xf numFmtId="0" fontId="54" fillId="10" borderId="6" xfId="9" applyFont="1" applyFill="1" applyBorder="1" applyAlignment="1">
      <alignment horizontal="right"/>
    </xf>
    <xf numFmtId="0" fontId="28" fillId="0" borderId="87" xfId="9" applyBorder="1" applyAlignment="1"/>
    <xf numFmtId="0" fontId="28" fillId="0" borderId="8" xfId="9" applyBorder="1" applyAlignment="1"/>
    <xf numFmtId="0" fontId="54" fillId="10" borderId="45" xfId="9" applyFont="1" applyFill="1" applyBorder="1" applyAlignment="1">
      <alignment horizontal="center"/>
    </xf>
    <xf numFmtId="0" fontId="54" fillId="10" borderId="46" xfId="9" applyFont="1" applyFill="1" applyBorder="1" applyAlignment="1">
      <alignment horizontal="center"/>
    </xf>
    <xf numFmtId="0" fontId="54" fillId="10" borderId="3" xfId="9" applyFont="1" applyFill="1" applyBorder="1" applyAlignment="1"/>
    <xf numFmtId="0" fontId="28" fillId="0" borderId="0" xfId="9" applyAlignment="1">
      <alignment horizontal="right"/>
    </xf>
    <xf numFmtId="0" fontId="28" fillId="0" borderId="88" xfId="9" applyBorder="1" applyAlignment="1">
      <alignment horizontal="right"/>
    </xf>
    <xf numFmtId="0" fontId="28" fillId="0" borderId="89" xfId="9" applyBorder="1" applyAlignment="1">
      <alignment horizontal="right"/>
    </xf>
    <xf numFmtId="0" fontId="54" fillId="10" borderId="53" xfId="9" applyFont="1" applyFill="1" applyBorder="1" applyAlignment="1"/>
    <xf numFmtId="169" fontId="28" fillId="0" borderId="11" xfId="9" applyNumberFormat="1" applyBorder="1" applyAlignment="1">
      <alignment horizontal="right"/>
    </xf>
    <xf numFmtId="169" fontId="28" fillId="0" borderId="13" xfId="9" applyNumberFormat="1" applyBorder="1" applyAlignment="1">
      <alignment horizontal="right"/>
    </xf>
    <xf numFmtId="169" fontId="28" fillId="0" borderId="37" xfId="9" applyNumberFormat="1" applyBorder="1" applyAlignment="1">
      <alignment horizontal="right"/>
    </xf>
    <xf numFmtId="0" fontId="56" fillId="0" borderId="0" xfId="9" applyFont="1" applyAlignment="1">
      <alignment horizontal="center"/>
    </xf>
    <xf numFmtId="43" fontId="28" fillId="0" borderId="11" xfId="9" applyNumberFormat="1" applyBorder="1" applyAlignment="1">
      <alignment horizontal="right"/>
    </xf>
    <xf numFmtId="43" fontId="28" fillId="0" borderId="13" xfId="9" applyNumberFormat="1" applyBorder="1" applyAlignment="1">
      <alignment horizontal="right"/>
    </xf>
    <xf numFmtId="43" fontId="28" fillId="0" borderId="37" xfId="9" applyNumberFormat="1" applyBorder="1" applyAlignment="1">
      <alignment horizontal="right"/>
    </xf>
    <xf numFmtId="0" fontId="54" fillId="10" borderId="8" xfId="9" applyFont="1" applyFill="1" applyBorder="1" applyAlignment="1"/>
    <xf numFmtId="43" fontId="28" fillId="0" borderId="74" xfId="9" applyNumberFormat="1" applyBorder="1" applyAlignment="1">
      <alignment horizontal="right"/>
    </xf>
    <xf numFmtId="43" fontId="28" fillId="0" borderId="43" xfId="9" applyNumberFormat="1" applyBorder="1" applyAlignment="1">
      <alignment horizontal="right"/>
    </xf>
    <xf numFmtId="43" fontId="28" fillId="0" borderId="44" xfId="9" applyNumberFormat="1" applyBorder="1" applyAlignment="1">
      <alignment horizontal="right"/>
    </xf>
    <xf numFmtId="168" fontId="28" fillId="0" borderId="48" xfId="9" applyNumberFormat="1" applyBorder="1" applyAlignment="1">
      <alignment horizontal="center"/>
    </xf>
    <xf numFmtId="170" fontId="28" fillId="0" borderId="0" xfId="13" applyNumberFormat="1" applyFont="1" applyAlignment="1"/>
    <xf numFmtId="0" fontId="55" fillId="0" borderId="7" xfId="9" applyFont="1" applyBorder="1" applyAlignment="1">
      <alignment horizontal="right"/>
    </xf>
    <xf numFmtId="0" fontId="28" fillId="0" borderId="7" xfId="9" applyBorder="1" applyAlignment="1">
      <alignment horizontal="right"/>
    </xf>
    <xf numFmtId="169" fontId="28" fillId="0" borderId="65" xfId="13" applyNumberFormat="1" applyFont="1" applyFill="1" applyBorder="1" applyAlignment="1">
      <alignment horizontal="center"/>
    </xf>
    <xf numFmtId="168" fontId="28" fillId="0" borderId="65" xfId="13" applyNumberFormat="1" applyFont="1" applyFill="1" applyBorder="1" applyAlignment="1">
      <alignment horizontal="center"/>
    </xf>
    <xf numFmtId="43" fontId="28" fillId="0" borderId="87" xfId="13" applyFont="1" applyFill="1" applyBorder="1" applyAlignment="1">
      <alignment horizontal="right"/>
    </xf>
    <xf numFmtId="0" fontId="28" fillId="0" borderId="88" xfId="9" applyBorder="1" applyAlignment="1"/>
    <xf numFmtId="0" fontId="28" fillId="0" borderId="89" xfId="9" applyBorder="1" applyAlignment="1"/>
    <xf numFmtId="168" fontId="28" fillId="0" borderId="11" xfId="0" applyNumberFormat="1" applyFont="1" applyBorder="1" applyAlignment="1">
      <alignment horizontal="center"/>
    </xf>
    <xf numFmtId="168" fontId="28" fillId="0" borderId="13" xfId="0" applyNumberFormat="1" applyFont="1" applyBorder="1" applyAlignment="1">
      <alignment horizontal="center"/>
    </xf>
    <xf numFmtId="168" fontId="28" fillId="0" borderId="37" xfId="0" applyNumberFormat="1" applyFont="1" applyBorder="1" applyAlignment="1">
      <alignment horizontal="center"/>
    </xf>
    <xf numFmtId="43" fontId="28" fillId="0" borderId="77" xfId="9" applyNumberFormat="1" applyBorder="1" applyAlignment="1">
      <alignment horizontal="right"/>
    </xf>
    <xf numFmtId="43" fontId="28" fillId="0" borderId="62" xfId="9" applyNumberFormat="1" applyBorder="1" applyAlignment="1">
      <alignment horizontal="right"/>
    </xf>
    <xf numFmtId="43" fontId="28" fillId="0" borderId="63" xfId="9" applyNumberFormat="1" applyBorder="1" applyAlignment="1">
      <alignment horizontal="right"/>
    </xf>
    <xf numFmtId="43" fontId="28" fillId="0" borderId="0" xfId="9" applyNumberFormat="1" applyAlignment="1">
      <alignment horizontal="right"/>
    </xf>
    <xf numFmtId="43" fontId="28" fillId="0" borderId="88" xfId="9" applyNumberFormat="1" applyBorder="1" applyAlignment="1">
      <alignment horizontal="right"/>
    </xf>
    <xf numFmtId="43" fontId="28" fillId="0" borderId="89" xfId="9" applyNumberFormat="1" applyBorder="1" applyAlignment="1">
      <alignment horizontal="right"/>
    </xf>
    <xf numFmtId="168" fontId="28" fillId="0" borderId="58" xfId="9" applyNumberFormat="1" applyBorder="1" applyAlignment="1">
      <alignment horizontal="center"/>
    </xf>
    <xf numFmtId="168" fontId="28" fillId="0" borderId="87" xfId="9" applyNumberFormat="1" applyBorder="1" applyAlignment="1">
      <alignment horizontal="center"/>
    </xf>
    <xf numFmtId="0" fontId="54" fillId="10" borderId="58" xfId="9" applyFont="1" applyFill="1" applyBorder="1" applyAlignment="1"/>
    <xf numFmtId="0" fontId="54" fillId="10" borderId="90" xfId="9" applyFont="1" applyFill="1" applyBorder="1" applyAlignment="1"/>
    <xf numFmtId="168" fontId="28" fillId="0" borderId="43" xfId="0" applyNumberFormat="1" applyFont="1" applyBorder="1" applyAlignment="1">
      <alignment horizontal="center"/>
    </xf>
    <xf numFmtId="168" fontId="28" fillId="0" borderId="44" xfId="0" applyNumberFormat="1" applyFont="1" applyBorder="1" applyAlignment="1">
      <alignment horizontal="center"/>
    </xf>
    <xf numFmtId="0" fontId="68" fillId="10" borderId="45" xfId="9" applyFont="1" applyFill="1" applyBorder="1" applyAlignment="1"/>
    <xf numFmtId="0" fontId="54" fillId="10" borderId="46" xfId="9" applyFont="1" applyFill="1" applyBorder="1" applyAlignment="1">
      <alignment horizontal="left"/>
    </xf>
    <xf numFmtId="0" fontId="54" fillId="10" borderId="47" xfId="9" applyFont="1" applyFill="1" applyBorder="1" applyAlignment="1"/>
    <xf numFmtId="0" fontId="54" fillId="10" borderId="91" xfId="9" applyFont="1" applyFill="1" applyBorder="1" applyAlignment="1"/>
    <xf numFmtId="0" fontId="59" fillId="0" borderId="0" xfId="9" applyFont="1" applyAlignment="1"/>
    <xf numFmtId="0" fontId="59" fillId="0" borderId="5" xfId="9" applyFont="1" applyBorder="1" applyAlignment="1"/>
    <xf numFmtId="0" fontId="28" fillId="0" borderId="57" xfId="9" applyBorder="1" applyAlignment="1"/>
    <xf numFmtId="0" fontId="28" fillId="0" borderId="3" xfId="9" applyBorder="1" applyAlignment="1"/>
    <xf numFmtId="0" fontId="28" fillId="0" borderId="43" xfId="9" applyBorder="1" applyAlignment="1"/>
    <xf numFmtId="0" fontId="28" fillId="0" borderId="56" xfId="9" applyBorder="1" applyAlignment="1"/>
    <xf numFmtId="0" fontId="54" fillId="10" borderId="70" xfId="9" applyFont="1" applyFill="1" applyBorder="1" applyAlignment="1"/>
    <xf numFmtId="0" fontId="59" fillId="0" borderId="8" xfId="9" applyFont="1" applyBorder="1" applyAlignment="1"/>
    <xf numFmtId="0" fontId="54" fillId="10" borderId="83" xfId="9" applyFont="1" applyFill="1" applyBorder="1" applyAlignment="1">
      <alignment horizontal="center"/>
    </xf>
    <xf numFmtId="0" fontId="54" fillId="10" borderId="5" xfId="9" applyFont="1" applyFill="1" applyBorder="1" applyAlignment="1">
      <alignment horizontal="center"/>
    </xf>
    <xf numFmtId="3" fontId="28" fillId="0" borderId="37" xfId="13" applyNumberFormat="1" applyFont="1" applyFill="1" applyBorder="1" applyAlignment="1"/>
    <xf numFmtId="0" fontId="54" fillId="10" borderId="50" xfId="9" applyFont="1" applyFill="1" applyBorder="1" applyAlignment="1">
      <alignment horizontal="right"/>
    </xf>
    <xf numFmtId="3" fontId="28" fillId="0" borderId="35" xfId="9" applyNumberFormat="1" applyBorder="1" applyAlignment="1"/>
    <xf numFmtId="0" fontId="54" fillId="10" borderId="7" xfId="9" applyFont="1" applyFill="1" applyBorder="1" applyAlignment="1">
      <alignment horizontal="right"/>
    </xf>
    <xf numFmtId="10" fontId="28" fillId="0" borderId="72" xfId="1" applyNumberFormat="1" applyFont="1" applyFill="1" applyBorder="1" applyAlignment="1"/>
    <xf numFmtId="0" fontId="55" fillId="0" borderId="46" xfId="9" applyFont="1" applyBorder="1" applyAlignment="1"/>
    <xf numFmtId="0" fontId="55" fillId="0" borderId="46" xfId="9" applyFont="1" applyBorder="1" applyAlignment="1">
      <alignment horizontal="right"/>
    </xf>
    <xf numFmtId="0" fontId="28" fillId="0" borderId="46" xfId="9" applyBorder="1" applyAlignment="1"/>
    <xf numFmtId="0" fontId="54" fillId="10" borderId="73" xfId="9" applyFont="1" applyFill="1" applyBorder="1" applyAlignment="1">
      <alignment horizontal="right"/>
    </xf>
    <xf numFmtId="0" fontId="28" fillId="0" borderId="51" xfId="9" applyBorder="1" applyAlignment="1"/>
    <xf numFmtId="0" fontId="28" fillId="0" borderId="72" xfId="9" applyBorder="1" applyAlignment="1"/>
    <xf numFmtId="0" fontId="28" fillId="0" borderId="61" xfId="9" applyBorder="1" applyAlignment="1"/>
    <xf numFmtId="0" fontId="28" fillId="0" borderId="10" xfId="9" applyBorder="1" applyAlignment="1"/>
    <xf numFmtId="0" fontId="28" fillId="0" borderId="59" xfId="9" applyBorder="1" applyAlignment="1"/>
    <xf numFmtId="0" fontId="28" fillId="0" borderId="47" xfId="9" applyBorder="1" applyAlignment="1"/>
    <xf numFmtId="0" fontId="55" fillId="0" borderId="0" xfId="9" applyFont="1" applyAlignment="1">
      <alignment horizontal="left"/>
    </xf>
    <xf numFmtId="0" fontId="0" fillId="9" borderId="0" xfId="0" applyFill="1" applyAlignment="1">
      <alignment horizontal="center"/>
    </xf>
    <xf numFmtId="0" fontId="54" fillId="9" borderId="0" xfId="0" applyFont="1" applyFill="1"/>
    <xf numFmtId="0" fontId="0" fillId="9" borderId="0" xfId="0" applyFill="1"/>
    <xf numFmtId="0" fontId="55" fillId="0" borderId="0" xfId="0" applyFont="1" applyAlignment="1">
      <alignment horizontal="right"/>
    </xf>
    <xf numFmtId="14" fontId="28" fillId="0" borderId="48" xfId="0" applyNumberFormat="1" applyFont="1" applyBorder="1" applyAlignment="1">
      <alignment horizontal="center"/>
    </xf>
    <xf numFmtId="0" fontId="54" fillId="9" borderId="0" xfId="0" applyFont="1" applyFill="1" applyAlignment="1">
      <alignment horizontal="center"/>
    </xf>
    <xf numFmtId="0" fontId="28" fillId="0" borderId="0" xfId="0" applyFont="1" applyAlignment="1">
      <alignment horizontal="center"/>
    </xf>
    <xf numFmtId="0" fontId="28" fillId="0" borderId="0" xfId="0" applyFont="1"/>
    <xf numFmtId="0" fontId="61" fillId="0" borderId="0" xfId="0" applyFont="1"/>
    <xf numFmtId="0" fontId="54" fillId="10" borderId="87" xfId="0" applyFont="1" applyFill="1" applyBorder="1" applyAlignment="1">
      <alignment horizontal="center" wrapText="1"/>
    </xf>
    <xf numFmtId="0" fontId="54" fillId="10" borderId="58" xfId="0" applyFont="1" applyFill="1" applyBorder="1"/>
    <xf numFmtId="9" fontId="28" fillId="0" borderId="47" xfId="0" applyNumberFormat="1" applyFont="1" applyBorder="1" applyAlignment="1">
      <alignment horizontal="center"/>
    </xf>
    <xf numFmtId="0" fontId="54" fillId="10" borderId="70" xfId="0" applyFont="1" applyFill="1" applyBorder="1"/>
    <xf numFmtId="0" fontId="28" fillId="11" borderId="3" xfId="0" applyFont="1" applyFill="1" applyBorder="1"/>
    <xf numFmtId="0" fontId="54" fillId="10" borderId="36" xfId="0" applyFont="1" applyFill="1" applyBorder="1" applyAlignment="1">
      <alignment horizontal="right"/>
    </xf>
    <xf numFmtId="10" fontId="28" fillId="0" borderId="53" xfId="0" applyNumberFormat="1" applyFont="1" applyBorder="1" applyAlignment="1">
      <alignment horizontal="center"/>
    </xf>
    <xf numFmtId="0" fontId="54" fillId="10" borderId="71" xfId="0" applyFont="1" applyFill="1" applyBorder="1"/>
    <xf numFmtId="10" fontId="28" fillId="0" borderId="8" xfId="0" applyNumberFormat="1" applyFont="1" applyBorder="1" applyAlignment="1">
      <alignment horizontal="center"/>
    </xf>
    <xf numFmtId="0" fontId="55" fillId="0" borderId="0" xfId="0" applyFont="1"/>
    <xf numFmtId="0" fontId="61" fillId="0" borderId="0" xfId="0" applyFont="1" applyAlignment="1">
      <alignment horizontal="left"/>
    </xf>
    <xf numFmtId="0" fontId="54" fillId="10" borderId="45" xfId="0" applyFont="1" applyFill="1" applyBorder="1" applyAlignment="1">
      <alignment horizontal="center"/>
    </xf>
    <xf numFmtId="0" fontId="54" fillId="10" borderId="59" xfId="0" applyFont="1" applyFill="1" applyBorder="1" applyAlignment="1">
      <alignment horizontal="center"/>
    </xf>
    <xf numFmtId="0" fontId="54" fillId="10" borderId="60" xfId="0" applyFont="1" applyFill="1" applyBorder="1" applyAlignment="1">
      <alignment horizontal="center"/>
    </xf>
    <xf numFmtId="0" fontId="58" fillId="0" borderId="0" xfId="0" applyFont="1"/>
    <xf numFmtId="0" fontId="58" fillId="0" borderId="0" xfId="0" applyFont="1" applyAlignment="1">
      <alignment horizontal="center"/>
    </xf>
    <xf numFmtId="0" fontId="28" fillId="0" borderId="0" xfId="0" applyFont="1" applyAlignment="1">
      <alignment horizontal="center" wrapText="1"/>
    </xf>
    <xf numFmtId="0" fontId="59" fillId="0" borderId="45" xfId="0" applyFont="1" applyBorder="1"/>
    <xf numFmtId="0" fontId="59" fillId="0" borderId="59" xfId="0" applyFont="1" applyBorder="1"/>
    <xf numFmtId="10" fontId="0" fillId="0" borderId="60" xfId="0" applyNumberFormat="1" applyBorder="1" applyAlignment="1">
      <alignment horizontal="center"/>
    </xf>
    <xf numFmtId="14" fontId="28" fillId="0" borderId="7" xfId="0" applyNumberFormat="1" applyFont="1" applyBorder="1" applyAlignment="1">
      <alignment horizontal="center"/>
    </xf>
    <xf numFmtId="0" fontId="54" fillId="10" borderId="45" xfId="0" applyFont="1" applyFill="1" applyBorder="1" applyAlignment="1">
      <alignment wrapText="1"/>
    </xf>
    <xf numFmtId="0" fontId="54" fillId="10" borderId="46" xfId="0" applyFont="1" applyFill="1" applyBorder="1"/>
    <xf numFmtId="0" fontId="56" fillId="0" borderId="0" xfId="0" applyFont="1"/>
    <xf numFmtId="0" fontId="54" fillId="10" borderId="69" xfId="0" applyFont="1" applyFill="1" applyBorder="1"/>
    <xf numFmtId="0" fontId="54" fillId="10" borderId="50" xfId="0" applyFont="1" applyFill="1" applyBorder="1"/>
    <xf numFmtId="10" fontId="28" fillId="0" borderId="35" xfId="13" applyNumberFormat="1" applyFont="1" applyBorder="1" applyAlignment="1" applyProtection="1">
      <alignment horizontal="center"/>
      <protection locked="0"/>
    </xf>
    <xf numFmtId="0" fontId="54" fillId="10" borderId="52" xfId="0" applyFont="1" applyFill="1" applyBorder="1"/>
    <xf numFmtId="0" fontId="54" fillId="10" borderId="12" xfId="0" applyFont="1" applyFill="1" applyBorder="1"/>
    <xf numFmtId="10" fontId="28" fillId="0" borderId="37" xfId="13" applyNumberFormat="1" applyFont="1" applyBorder="1" applyAlignment="1" applyProtection="1">
      <alignment horizontal="center"/>
      <protection locked="0"/>
    </xf>
    <xf numFmtId="10" fontId="28" fillId="0" borderId="89" xfId="13" applyNumberFormat="1" applyFont="1" applyBorder="1" applyAlignment="1" applyProtection="1">
      <alignment horizontal="center"/>
      <protection locked="0"/>
    </xf>
    <xf numFmtId="0" fontId="54" fillId="10" borderId="79" xfId="0" applyFont="1" applyFill="1" applyBorder="1"/>
    <xf numFmtId="0" fontId="54" fillId="10" borderId="80" xfId="0" applyFont="1" applyFill="1" applyBorder="1"/>
    <xf numFmtId="0" fontId="54" fillId="10" borderId="68" xfId="0" applyFont="1" applyFill="1" applyBorder="1"/>
    <xf numFmtId="0" fontId="54" fillId="10" borderId="55" xfId="0" applyFont="1" applyFill="1" applyBorder="1"/>
    <xf numFmtId="10" fontId="28" fillId="0" borderId="44" xfId="13" applyNumberFormat="1" applyFont="1" applyBorder="1" applyAlignment="1" applyProtection="1">
      <alignment horizontal="center"/>
      <protection locked="0"/>
    </xf>
    <xf numFmtId="0" fontId="55" fillId="0" borderId="0" xfId="9" applyFont="1" applyAlignment="1">
      <alignment horizontal="center"/>
    </xf>
    <xf numFmtId="10" fontId="55" fillId="0" borderId="60" xfId="0" applyNumberFormat="1" applyFont="1" applyBorder="1" applyAlignment="1">
      <alignment horizontal="center"/>
    </xf>
    <xf numFmtId="0" fontId="0" fillId="0" borderId="7" xfId="0" applyBorder="1"/>
    <xf numFmtId="0" fontId="54" fillId="10" borderId="45" xfId="0" applyFont="1" applyFill="1" applyBorder="1"/>
    <xf numFmtId="0" fontId="54" fillId="10" borderId="75" xfId="0" applyFont="1" applyFill="1" applyBorder="1"/>
    <xf numFmtId="0" fontId="54" fillId="10" borderId="47" xfId="0" applyFont="1" applyFill="1" applyBorder="1" applyAlignment="1">
      <alignment horizontal="center"/>
    </xf>
    <xf numFmtId="0" fontId="54" fillId="10" borderId="91" xfId="0" applyFont="1" applyFill="1" applyBorder="1" applyAlignment="1">
      <alignment horizontal="center"/>
    </xf>
    <xf numFmtId="0" fontId="54" fillId="10" borderId="92" xfId="0" applyFont="1" applyFill="1" applyBorder="1"/>
    <xf numFmtId="0" fontId="69" fillId="0" borderId="0" xfId="0" applyFont="1"/>
    <xf numFmtId="0" fontId="54" fillId="10" borderId="91" xfId="0" applyFont="1" applyFill="1" applyBorder="1"/>
    <xf numFmtId="0" fontId="54" fillId="10" borderId="11" xfId="0" applyFont="1" applyFill="1" applyBorder="1"/>
    <xf numFmtId="0" fontId="54" fillId="10" borderId="67" xfId="0" applyFont="1" applyFill="1" applyBorder="1"/>
    <xf numFmtId="0" fontId="70" fillId="0" borderId="0" xfId="0" applyFont="1"/>
    <xf numFmtId="10" fontId="55" fillId="0" borderId="60" xfId="13" applyNumberFormat="1" applyFont="1" applyBorder="1" applyAlignment="1" applyProtection="1">
      <alignment horizontal="center"/>
      <protection locked="0"/>
    </xf>
    <xf numFmtId="0" fontId="54" fillId="10" borderId="9" xfId="0" applyFont="1" applyFill="1" applyBorder="1"/>
    <xf numFmtId="10" fontId="28" fillId="0" borderId="81" xfId="13" applyNumberFormat="1" applyFont="1" applyBorder="1" applyAlignment="1" applyProtection="1">
      <alignment horizontal="center"/>
      <protection locked="0"/>
    </xf>
    <xf numFmtId="171" fontId="28" fillId="0" borderId="0" xfId="13" applyNumberFormat="1" applyFont="1" applyBorder="1" applyAlignment="1" applyProtection="1">
      <alignment horizontal="right"/>
      <protection locked="0"/>
    </xf>
    <xf numFmtId="0" fontId="54" fillId="10" borderId="81" xfId="0" applyFont="1" applyFill="1" applyBorder="1"/>
    <xf numFmtId="10" fontId="28" fillId="0" borderId="74" xfId="13" applyNumberFormat="1" applyFont="1" applyBorder="1" applyAlignment="1" applyProtection="1">
      <alignment horizontal="center"/>
      <protection locked="0"/>
    </xf>
    <xf numFmtId="0" fontId="58" fillId="0" borderId="2" xfId="0" applyFont="1" applyBorder="1"/>
    <xf numFmtId="171" fontId="28" fillId="0" borderId="81" xfId="13" applyNumberFormat="1" applyFont="1" applyBorder="1" applyAlignment="1" applyProtection="1">
      <alignment horizontal="right"/>
      <protection locked="0"/>
    </xf>
    <xf numFmtId="0" fontId="54" fillId="10" borderId="87" xfId="0" applyFont="1" applyFill="1" applyBorder="1" applyAlignment="1">
      <alignment horizontal="center"/>
    </xf>
    <xf numFmtId="0" fontId="60" fillId="0" borderId="0" xfId="0" applyFont="1" applyAlignment="1">
      <alignment horizontal="center"/>
    </xf>
    <xf numFmtId="0" fontId="54" fillId="10" borderId="69" xfId="0" applyFont="1" applyFill="1" applyBorder="1" applyAlignment="1">
      <alignment horizontal="left"/>
    </xf>
    <xf numFmtId="0" fontId="54" fillId="10" borderId="51" xfId="0" applyFont="1" applyFill="1" applyBorder="1"/>
    <xf numFmtId="10" fontId="28" fillId="0" borderId="83" xfId="13" applyNumberFormat="1" applyFont="1" applyBorder="1" applyAlignment="1" applyProtection="1">
      <alignment horizontal="center"/>
      <protection locked="0"/>
    </xf>
    <xf numFmtId="0" fontId="54" fillId="10" borderId="4" xfId="0" applyFont="1" applyFill="1" applyBorder="1" applyAlignment="1">
      <alignment horizontal="left"/>
    </xf>
    <xf numFmtId="0" fontId="54" fillId="10" borderId="0" xfId="0" applyFont="1" applyFill="1"/>
    <xf numFmtId="0" fontId="54" fillId="10" borderId="5" xfId="0" applyFont="1" applyFill="1" applyBorder="1"/>
    <xf numFmtId="10" fontId="28" fillId="0" borderId="48" xfId="13" applyNumberFormat="1" applyFont="1" applyBorder="1" applyAlignment="1" applyProtection="1">
      <alignment horizontal="center"/>
      <protection locked="0"/>
    </xf>
    <xf numFmtId="0" fontId="56" fillId="0" borderId="0" xfId="0" quotePrefix="1" applyFont="1"/>
    <xf numFmtId="0" fontId="54" fillId="10" borderId="45" xfId="0" applyFont="1" applyFill="1" applyBorder="1" applyAlignment="1">
      <alignment horizontal="left"/>
    </xf>
    <xf numFmtId="0" fontId="54" fillId="10" borderId="47" xfId="0" applyFont="1" applyFill="1" applyBorder="1" applyAlignment="1">
      <alignment horizontal="right"/>
    </xf>
    <xf numFmtId="10" fontId="0" fillId="0" borderId="87" xfId="0" applyNumberFormat="1" applyBorder="1" applyAlignment="1">
      <alignment horizontal="center"/>
    </xf>
    <xf numFmtId="0" fontId="54" fillId="10" borderId="33" xfId="0" applyFont="1" applyFill="1" applyBorder="1" applyAlignment="1">
      <alignment horizontal="left"/>
    </xf>
    <xf numFmtId="10" fontId="28" fillId="0" borderId="87" xfId="13" applyNumberFormat="1" applyFont="1" applyBorder="1" applyAlignment="1" applyProtection="1">
      <alignment horizontal="center"/>
      <protection locked="0"/>
    </xf>
    <xf numFmtId="0" fontId="54" fillId="10" borderId="45" xfId="0" applyFont="1" applyFill="1" applyBorder="1" applyAlignment="1">
      <alignment horizontal="right"/>
    </xf>
    <xf numFmtId="0" fontId="0" fillId="0" borderId="0" xfId="0" applyAlignment="1">
      <alignment horizontal="right"/>
    </xf>
    <xf numFmtId="0" fontId="0" fillId="0" borderId="2" xfId="0" applyBorder="1"/>
    <xf numFmtId="0" fontId="54" fillId="10" borderId="70" xfId="0" applyFont="1" applyFill="1" applyBorder="1" applyAlignment="1">
      <alignment horizontal="center"/>
    </xf>
    <xf numFmtId="0" fontId="54" fillId="10" borderId="66" xfId="0" applyFont="1" applyFill="1" applyBorder="1" applyAlignment="1">
      <alignment horizontal="center"/>
    </xf>
    <xf numFmtId="0" fontId="54" fillId="10" borderId="33" xfId="0" applyFont="1" applyFill="1" applyBorder="1" applyAlignment="1">
      <alignment horizontal="center"/>
    </xf>
    <xf numFmtId="0" fontId="54" fillId="10" borderId="36" xfId="0" quotePrefix="1" applyFont="1" applyFill="1" applyBorder="1" applyAlignment="1">
      <alignment horizontal="center"/>
    </xf>
    <xf numFmtId="0" fontId="54" fillId="10" borderId="42" xfId="0" applyFont="1" applyFill="1" applyBorder="1" applyAlignment="1">
      <alignment horizontal="center"/>
    </xf>
    <xf numFmtId="0" fontId="0" fillId="0" borderId="8" xfId="0" applyBorder="1"/>
    <xf numFmtId="0" fontId="0" fillId="0" borderId="61" xfId="0" applyBorder="1" applyAlignment="1">
      <alignment horizontal="center"/>
    </xf>
    <xf numFmtId="0" fontId="54" fillId="10" borderId="4" xfId="0" applyFont="1" applyFill="1" applyBorder="1"/>
    <xf numFmtId="10" fontId="0" fillId="0" borderId="0" xfId="0" applyNumberFormat="1"/>
    <xf numFmtId="9" fontId="0" fillId="0" borderId="5" xfId="0" applyNumberFormat="1" applyBorder="1" applyAlignment="1">
      <alignment horizontal="center"/>
    </xf>
    <xf numFmtId="0" fontId="0" fillId="0" borderId="61" xfId="0" applyBorder="1"/>
    <xf numFmtId="0" fontId="54" fillId="10" borderId="36" xfId="0" applyFont="1" applyFill="1" applyBorder="1"/>
    <xf numFmtId="0" fontId="0" fillId="0" borderId="53" xfId="0" applyBorder="1" applyAlignment="1">
      <alignment horizontal="center"/>
    </xf>
    <xf numFmtId="0" fontId="0" fillId="0" borderId="37" xfId="0" applyBorder="1" applyAlignment="1">
      <alignment horizontal="center"/>
    </xf>
    <xf numFmtId="0" fontId="54" fillId="10" borderId="38" xfId="0" applyFont="1" applyFill="1" applyBorder="1"/>
    <xf numFmtId="0" fontId="54" fillId="10" borderId="42" xfId="0" applyFont="1" applyFill="1" applyBorder="1"/>
    <xf numFmtId="0" fontId="0" fillId="0" borderId="8" xfId="0" applyBorder="1" applyAlignment="1">
      <alignment horizontal="center"/>
    </xf>
    <xf numFmtId="10" fontId="0" fillId="0" borderId="35" xfId="0" applyNumberFormat="1" applyBorder="1" applyAlignment="1">
      <alignment horizontal="center"/>
    </xf>
    <xf numFmtId="10" fontId="0" fillId="0" borderId="37" xfId="0" applyNumberFormat="1" applyBorder="1" applyAlignment="1">
      <alignment horizontal="center"/>
    </xf>
    <xf numFmtId="10" fontId="0" fillId="0" borderId="44" xfId="0" applyNumberFormat="1" applyBorder="1" applyAlignment="1">
      <alignment horizontal="center"/>
    </xf>
    <xf numFmtId="0" fontId="54" fillId="10" borderId="1" xfId="0" applyFont="1" applyFill="1" applyBorder="1"/>
    <xf numFmtId="0" fontId="54" fillId="10" borderId="82" xfId="0" applyFont="1" applyFill="1" applyBorder="1"/>
    <xf numFmtId="0" fontId="71" fillId="0" borderId="13" xfId="9" applyFont="1" applyBorder="1" applyAlignment="1">
      <alignment horizontal="center" vertical="top" wrapText="1"/>
    </xf>
    <xf numFmtId="0" fontId="28" fillId="0" borderId="0" xfId="14" applyAlignment="1">
      <alignment horizontal="left"/>
    </xf>
    <xf numFmtId="0" fontId="28" fillId="0" borderId="0" xfId="14" applyAlignment="1">
      <alignment horizontal="center"/>
    </xf>
    <xf numFmtId="0" fontId="54" fillId="10" borderId="6" xfId="0" applyFont="1" applyFill="1" applyBorder="1"/>
    <xf numFmtId="0" fontId="54" fillId="10" borderId="82" xfId="0" applyFont="1" applyFill="1" applyBorder="1" applyAlignment="1">
      <alignment horizontal="center"/>
    </xf>
    <xf numFmtId="3" fontId="0" fillId="0" borderId="35" xfId="0" applyNumberFormat="1" applyBorder="1" applyAlignment="1">
      <alignment horizontal="center"/>
    </xf>
    <xf numFmtId="0" fontId="54" fillId="10" borderId="74" xfId="0" applyFont="1" applyFill="1" applyBorder="1" applyAlignment="1">
      <alignment horizontal="center"/>
    </xf>
    <xf numFmtId="172" fontId="0" fillId="0" borderId="44" xfId="0" applyNumberFormat="1" applyBorder="1" applyAlignment="1">
      <alignment horizontal="center"/>
    </xf>
    <xf numFmtId="0" fontId="58" fillId="0" borderId="2" xfId="0" applyFont="1" applyBorder="1" applyAlignment="1">
      <alignment horizontal="center"/>
    </xf>
    <xf numFmtId="0" fontId="0" fillId="0" borderId="2" xfId="0" applyBorder="1" applyAlignment="1">
      <alignment horizontal="center"/>
    </xf>
    <xf numFmtId="0" fontId="54" fillId="10" borderId="73" xfId="0" applyFont="1" applyFill="1" applyBorder="1"/>
    <xf numFmtId="0" fontId="72" fillId="0" borderId="0" xfId="0" applyFont="1" applyAlignment="1">
      <alignment vertical="center"/>
    </xf>
    <xf numFmtId="0" fontId="54" fillId="10" borderId="58" xfId="0" applyFont="1" applyFill="1" applyBorder="1" applyAlignment="1">
      <alignment horizontal="center" vertical="center"/>
    </xf>
    <xf numFmtId="0" fontId="54" fillId="10" borderId="59" xfId="0" applyFont="1" applyFill="1" applyBorder="1" applyAlignment="1">
      <alignment horizontal="center" vertical="center"/>
    </xf>
    <xf numFmtId="0" fontId="54" fillId="10" borderId="60" xfId="0" applyFont="1" applyFill="1" applyBorder="1" applyAlignment="1">
      <alignment horizontal="center" vertical="center" wrapText="1"/>
    </xf>
    <xf numFmtId="0" fontId="28" fillId="0" borderId="0" xfId="15" applyAlignment="1">
      <alignment horizontal="left"/>
    </xf>
    <xf numFmtId="0" fontId="28" fillId="0" borderId="0" xfId="15" applyAlignment="1">
      <alignment horizontal="center"/>
    </xf>
    <xf numFmtId="3" fontId="28" fillId="0" borderId="62" xfId="0" applyNumberFormat="1" applyFont="1" applyBorder="1" applyAlignment="1">
      <alignment horizontal="center"/>
    </xf>
    <xf numFmtId="165" fontId="28" fillId="0" borderId="35" xfId="12" applyNumberFormat="1" applyFont="1" applyFill="1" applyBorder="1" applyAlignment="1">
      <alignment horizontal="center" vertical="center"/>
    </xf>
    <xf numFmtId="3" fontId="28" fillId="0" borderId="13" xfId="0" applyNumberFormat="1" applyFont="1" applyBorder="1" applyAlignment="1">
      <alignment horizontal="center"/>
    </xf>
    <xf numFmtId="165" fontId="28" fillId="0" borderId="37" xfId="12" applyNumberFormat="1" applyFont="1" applyFill="1" applyBorder="1" applyAlignment="1">
      <alignment horizontal="center" vertical="center"/>
    </xf>
    <xf numFmtId="168" fontId="55" fillId="0" borderId="43" xfId="12" applyNumberFormat="1" applyFont="1" applyFill="1" applyBorder="1" applyAlignment="1">
      <alignment horizontal="right" indent="1"/>
    </xf>
    <xf numFmtId="43" fontId="55" fillId="0" borderId="43" xfId="12" applyNumberFormat="1" applyFont="1" applyFill="1" applyBorder="1" applyAlignment="1">
      <alignment horizontal="right" indent="1"/>
    </xf>
    <xf numFmtId="165" fontId="55" fillId="0" borderId="44" xfId="12" applyNumberFormat="1" applyFont="1" applyFill="1" applyBorder="1" applyAlignment="1">
      <alignment horizontal="center" vertical="center"/>
    </xf>
    <xf numFmtId="0" fontId="28" fillId="0" borderId="65" xfId="9" applyBorder="1" applyAlignment="1"/>
    <xf numFmtId="0" fontId="28" fillId="0" borderId="64" xfId="9" applyBorder="1" applyAlignment="1"/>
    <xf numFmtId="0" fontId="54" fillId="10" borderId="38" xfId="9" applyFont="1" applyFill="1" applyBorder="1" applyAlignment="1">
      <alignment horizontal="center" vertical="center"/>
    </xf>
    <xf numFmtId="0" fontId="54" fillId="10" borderId="39" xfId="9" applyFont="1" applyFill="1" applyBorder="1" applyAlignment="1">
      <alignment horizontal="center" vertical="center" wrapText="1"/>
    </xf>
    <xf numFmtId="0" fontId="54" fillId="10" borderId="94" xfId="9" applyFont="1" applyFill="1" applyBorder="1" applyAlignment="1">
      <alignment horizontal="center" vertical="center" wrapText="1"/>
    </xf>
    <xf numFmtId="0" fontId="54" fillId="10" borderId="12" xfId="9" applyFont="1" applyFill="1" applyBorder="1" applyAlignment="1">
      <alignment horizontal="center" vertical="center" wrapText="1"/>
    </xf>
    <xf numFmtId="0" fontId="54" fillId="10" borderId="11" xfId="9" applyFont="1" applyFill="1" applyBorder="1" applyAlignment="1">
      <alignment horizontal="center" vertical="center" wrapText="1"/>
    </xf>
    <xf numFmtId="0" fontId="54" fillId="10" borderId="40" xfId="9" applyFont="1" applyFill="1" applyBorder="1" applyAlignment="1">
      <alignment horizontal="center" vertical="center" wrapText="1"/>
    </xf>
    <xf numFmtId="0" fontId="54" fillId="10" borderId="62" xfId="9" applyFont="1" applyFill="1" applyBorder="1" applyAlignment="1">
      <alignment horizontal="center" vertical="center" wrapText="1"/>
    </xf>
    <xf numFmtId="0" fontId="54" fillId="10" borderId="13" xfId="9" applyFont="1" applyFill="1" applyBorder="1" applyAlignment="1">
      <alignment horizontal="center"/>
    </xf>
    <xf numFmtId="0" fontId="54" fillId="10" borderId="63" xfId="9" applyFont="1" applyFill="1" applyBorder="1" applyAlignment="1">
      <alignment horizontal="center" vertical="center" wrapText="1"/>
    </xf>
    <xf numFmtId="0" fontId="28" fillId="0" borderId="36" xfId="9" applyBorder="1" applyAlignment="1">
      <alignment horizontal="center"/>
    </xf>
    <xf numFmtId="0" fontId="60" fillId="0" borderId="42" xfId="9" applyFont="1" applyBorder="1" applyAlignment="1">
      <alignment horizontal="center"/>
    </xf>
    <xf numFmtId="0" fontId="60" fillId="0" borderId="43" xfId="9" applyFont="1" applyBorder="1" applyAlignment="1">
      <alignment horizontal="center"/>
    </xf>
    <xf numFmtId="0" fontId="60" fillId="0" borderId="44" xfId="9" applyFont="1" applyBorder="1" applyAlignment="1">
      <alignment horizontal="center"/>
    </xf>
    <xf numFmtId="0" fontId="28" fillId="9" borderId="0" xfId="9" applyFill="1" applyAlignment="1">
      <alignment horizontal="right"/>
    </xf>
    <xf numFmtId="3" fontId="28" fillId="0" borderId="57" xfId="9" applyNumberFormat="1" applyBorder="1" applyAlignment="1">
      <alignment horizontal="center"/>
    </xf>
    <xf numFmtId="3" fontId="28" fillId="0" borderId="66" xfId="9" applyNumberFormat="1" applyBorder="1" applyAlignment="1">
      <alignment horizontal="center"/>
    </xf>
    <xf numFmtId="3" fontId="28" fillId="0" borderId="64" xfId="9" applyNumberFormat="1" applyBorder="1" applyAlignment="1">
      <alignment horizontal="center"/>
    </xf>
    <xf numFmtId="3" fontId="26" fillId="0" borderId="64" xfId="11" applyNumberFormat="1" applyFont="1" applyFill="1" applyBorder="1" applyAlignment="1">
      <alignment horizontal="center"/>
    </xf>
    <xf numFmtId="3" fontId="26" fillId="0" borderId="72" xfId="11" applyNumberFormat="1" applyFont="1" applyFill="1" applyBorder="1" applyAlignment="1">
      <alignment horizontal="center"/>
    </xf>
    <xf numFmtId="43" fontId="28" fillId="0" borderId="0" xfId="9" applyNumberFormat="1" applyAlignment="1"/>
    <xf numFmtId="3" fontId="28" fillId="0" borderId="59" xfId="9" applyNumberFormat="1" applyBorder="1" applyAlignment="1">
      <alignment horizontal="center"/>
    </xf>
    <xf numFmtId="3" fontId="28" fillId="0" borderId="47" xfId="9" applyNumberFormat="1" applyBorder="1" applyAlignment="1">
      <alignment horizontal="center"/>
    </xf>
    <xf numFmtId="0" fontId="28" fillId="0" borderId="46" xfId="9" applyBorder="1" applyAlignment="1">
      <alignment horizontal="center"/>
    </xf>
    <xf numFmtId="3" fontId="28" fillId="0" borderId="88" xfId="9" applyNumberFormat="1" applyBorder="1" applyAlignment="1">
      <alignment horizontal="center"/>
    </xf>
    <xf numFmtId="3" fontId="26" fillId="0" borderId="88" xfId="11" applyNumberFormat="1" applyFont="1" applyFill="1" applyBorder="1" applyAlignment="1">
      <alignment horizontal="center"/>
    </xf>
    <xf numFmtId="3" fontId="26" fillId="0" borderId="89" xfId="11" applyNumberFormat="1" applyFont="1" applyFill="1" applyBorder="1" applyAlignment="1">
      <alignment horizontal="center"/>
    </xf>
    <xf numFmtId="0" fontId="28" fillId="0" borderId="64" xfId="9" applyBorder="1" applyAlignment="1">
      <alignment horizontal="center"/>
    </xf>
    <xf numFmtId="3" fontId="26" fillId="0" borderId="59" xfId="11" applyNumberFormat="1" applyFont="1" applyFill="1" applyBorder="1" applyAlignment="1">
      <alignment horizontal="center"/>
    </xf>
    <xf numFmtId="3" fontId="28" fillId="0" borderId="47" xfId="9" applyNumberFormat="1" applyBorder="1" applyAlignment="1"/>
    <xf numFmtId="3" fontId="28" fillId="0" borderId="3" xfId="9" applyNumberFormat="1" applyBorder="1" applyAlignment="1"/>
    <xf numFmtId="0" fontId="28" fillId="0" borderId="88" xfId="9" applyBorder="1" applyAlignment="1">
      <alignment horizontal="center"/>
    </xf>
    <xf numFmtId="3" fontId="28" fillId="0" borderId="57" xfId="9" applyNumberFormat="1" applyBorder="1" applyAlignment="1">
      <alignment horizontal="center" vertical="center"/>
    </xf>
    <xf numFmtId="3" fontId="28" fillId="0" borderId="3" xfId="9" applyNumberFormat="1" applyBorder="1" applyAlignment="1">
      <alignment horizontal="center" vertical="center"/>
    </xf>
    <xf numFmtId="3" fontId="28" fillId="0" borderId="88" xfId="9" applyNumberFormat="1" applyBorder="1" applyAlignment="1">
      <alignment horizontal="center" vertical="center"/>
    </xf>
    <xf numFmtId="3" fontId="28" fillId="0" borderId="5" xfId="9" applyNumberFormat="1" applyBorder="1" applyAlignment="1">
      <alignment horizontal="center" vertical="center"/>
    </xf>
    <xf numFmtId="3" fontId="28" fillId="0" borderId="59" xfId="9" applyNumberFormat="1" applyBorder="1" applyAlignment="1">
      <alignment horizontal="center" vertical="center"/>
    </xf>
    <xf numFmtId="3" fontId="28" fillId="0" borderId="47" xfId="9" applyNumberFormat="1" applyBorder="1" applyAlignment="1">
      <alignment horizontal="center" vertical="center"/>
    </xf>
    <xf numFmtId="3" fontId="28" fillId="0" borderId="46" xfId="9" applyNumberFormat="1" applyBorder="1" applyAlignment="1">
      <alignment horizontal="center" vertical="center"/>
    </xf>
    <xf numFmtId="3" fontId="28" fillId="0" borderId="91" xfId="9" applyNumberFormat="1" applyBorder="1" applyAlignment="1">
      <alignment horizontal="center" vertical="center"/>
    </xf>
    <xf numFmtId="3" fontId="28" fillId="0" borderId="89" xfId="9" applyNumberFormat="1" applyBorder="1" applyAlignment="1">
      <alignment horizontal="center" vertical="center"/>
    </xf>
    <xf numFmtId="3" fontId="28" fillId="0" borderId="71" xfId="9" applyNumberFormat="1" applyBorder="1" applyAlignment="1">
      <alignment horizontal="center" vertical="center"/>
    </xf>
    <xf numFmtId="3" fontId="58" fillId="0" borderId="64" xfId="9" applyNumberFormat="1" applyFont="1" applyBorder="1" applyAlignment="1">
      <alignment horizontal="center" vertical="center"/>
    </xf>
    <xf numFmtId="3" fontId="28" fillId="0" borderId="64" xfId="9" applyNumberFormat="1" applyBorder="1" applyAlignment="1">
      <alignment horizontal="center" vertical="center"/>
    </xf>
    <xf numFmtId="3" fontId="28" fillId="0" borderId="72" xfId="9" applyNumberFormat="1" applyBorder="1" applyAlignment="1">
      <alignment horizontal="center" vertical="center"/>
    </xf>
    <xf numFmtId="0" fontId="11" fillId="0" borderId="0" xfId="0" applyFont="1" applyAlignment="1">
      <alignment horizontal="center" vertical="center"/>
    </xf>
    <xf numFmtId="14" fontId="2" fillId="0" borderId="0" xfId="9" applyNumberFormat="1" applyFont="1" applyAlignment="1" applyProtection="1">
      <alignment horizontal="center"/>
    </xf>
    <xf numFmtId="0" fontId="54" fillId="10" borderId="93" xfId="9" applyFont="1" applyFill="1" applyBorder="1" applyAlignment="1">
      <alignment horizontal="right"/>
    </xf>
    <xf numFmtId="0" fontId="54" fillId="10" borderId="95" xfId="9" applyFont="1" applyFill="1" applyBorder="1" applyAlignment="1">
      <alignment horizontal="right"/>
    </xf>
    <xf numFmtId="168" fontId="28" fillId="0" borderId="33" xfId="9" applyNumberFormat="1" applyBorder="1" applyAlignment="1">
      <alignment horizontal="center"/>
    </xf>
    <xf numFmtId="168" fontId="28" fillId="0" borderId="34" xfId="9" applyNumberFormat="1" applyBorder="1" applyAlignment="1">
      <alignment horizontal="center"/>
    </xf>
    <xf numFmtId="168" fontId="28" fillId="0" borderId="35" xfId="9" applyNumberFormat="1" applyBorder="1" applyAlignment="1">
      <alignment horizontal="center"/>
    </xf>
    <xf numFmtId="168" fontId="28" fillId="0" borderId="36" xfId="0" applyNumberFormat="1" applyFont="1" applyBorder="1" applyAlignment="1">
      <alignment horizontal="center"/>
    </xf>
    <xf numFmtId="168" fontId="28" fillId="0" borderId="42" xfId="0" applyNumberFormat="1" applyFont="1" applyBorder="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3" fontId="12" fillId="0" borderId="0" xfId="0" applyNumberFormat="1" applyFont="1" applyAlignment="1">
      <alignment horizontal="center" vertical="center"/>
    </xf>
    <xf numFmtId="174" fontId="12" fillId="0" borderId="0" xfId="0" applyNumberFormat="1" applyFont="1" applyAlignment="1">
      <alignment horizontal="center" vertic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7" fillId="0" borderId="54" xfId="10" applyFill="1" applyBorder="1" applyAlignment="1" applyProtection="1">
      <alignment horizontal="left"/>
    </xf>
    <xf numFmtId="0" fontId="57" fillId="0" borderId="56" xfId="10" applyFill="1" applyBorder="1" applyAlignment="1" applyProtection="1">
      <alignment horizontal="left"/>
    </xf>
    <xf numFmtId="0" fontId="28" fillId="0" borderId="45" xfId="9" applyBorder="1" applyAlignment="1">
      <alignment horizontal="center"/>
    </xf>
    <xf numFmtId="0" fontId="28" fillId="0" borderId="46" xfId="9" applyBorder="1" applyAlignment="1">
      <alignment horizontal="center"/>
    </xf>
    <xf numFmtId="0" fontId="28" fillId="0" borderId="47" xfId="9" applyBorder="1" applyAlignment="1">
      <alignment horizontal="center"/>
    </xf>
    <xf numFmtId="0" fontId="28" fillId="0" borderId="49" xfId="0" applyFont="1" applyBorder="1" applyAlignment="1">
      <alignment horizontal="center"/>
    </xf>
    <xf numFmtId="0" fontId="28" fillId="0" borderId="50" xfId="0" applyFont="1" applyBorder="1" applyAlignment="1">
      <alignment horizontal="center"/>
    </xf>
    <xf numFmtId="0" fontId="28" fillId="0" borderId="51" xfId="0" applyFont="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0" fontId="28" fillId="0" borderId="53" xfId="0" applyFont="1" applyBorder="1" applyAlignment="1">
      <alignment horizontal="center"/>
    </xf>
    <xf numFmtId="0" fontId="57" fillId="0" borderId="54" xfId="10" applyBorder="1" applyAlignment="1" applyProtection="1">
      <alignment horizontal="center"/>
    </xf>
    <xf numFmtId="0" fontId="57" fillId="0" borderId="55" xfId="10" applyBorder="1" applyAlignment="1" applyProtection="1">
      <alignment horizontal="center"/>
    </xf>
    <xf numFmtId="0" fontId="57" fillId="0" borderId="56" xfId="10" applyBorder="1" applyAlignment="1" applyProtection="1">
      <alignment horizontal="center"/>
    </xf>
    <xf numFmtId="0" fontId="28" fillId="0" borderId="49" xfId="9" applyBorder="1" applyAlignment="1">
      <alignment horizontal="center"/>
    </xf>
    <xf numFmtId="0" fontId="28" fillId="0" borderId="51" xfId="9" applyBorder="1" applyAlignment="1">
      <alignment horizontal="center"/>
    </xf>
    <xf numFmtId="0" fontId="28" fillId="0" borderId="10" xfId="9" applyBorder="1" applyAlignment="1">
      <alignment horizontal="center"/>
    </xf>
    <xf numFmtId="0" fontId="28" fillId="0" borderId="53" xfId="9" applyBorder="1" applyAlignment="1">
      <alignment horizontal="center"/>
    </xf>
    <xf numFmtId="0" fontId="54" fillId="10" borderId="45" xfId="0" applyFont="1" applyFill="1" applyBorder="1" applyAlignment="1">
      <alignment horizontal="center"/>
    </xf>
    <xf numFmtId="0" fontId="54" fillId="10" borderId="75" xfId="0" applyFont="1" applyFill="1" applyBorder="1" applyAlignment="1">
      <alignment horizontal="center"/>
    </xf>
    <xf numFmtId="0" fontId="58" fillId="0" borderId="0" xfId="0" applyFont="1" applyAlignment="1">
      <alignment horizontal="center"/>
    </xf>
    <xf numFmtId="0" fontId="54" fillId="10" borderId="58" xfId="0" applyFont="1" applyFill="1" applyBorder="1" applyAlignment="1">
      <alignment horizontal="center"/>
    </xf>
    <xf numFmtId="0" fontId="54" fillId="10" borderId="93" xfId="0" applyFont="1" applyFill="1" applyBorder="1" applyAlignment="1">
      <alignment horizontal="center"/>
    </xf>
    <xf numFmtId="49" fontId="54" fillId="10" borderId="49" xfId="0" applyNumberFormat="1" applyFont="1" applyFill="1" applyBorder="1" applyAlignment="1">
      <alignment horizontal="center"/>
    </xf>
    <xf numFmtId="49" fontId="54" fillId="10" borderId="51" xfId="0" applyNumberFormat="1"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6">
    <cellStyle name="Comma 2" xfId="3" xr:uid="{00000000-0005-0000-0000-000000000000}"/>
    <cellStyle name="Hyperlink" xfId="2" builtinId="8"/>
    <cellStyle name="Lien hypertexte 2" xfId="10" xr:uid="{00000000-0005-0000-0000-000002000000}"/>
    <cellStyle name="Milliers 2" xfId="11" xr:uid="{00000000-0005-0000-0000-000003000000}"/>
    <cellStyle name="Milliers 3" xfId="13" xr:uid="{00000000-0005-0000-0000-000004000000}"/>
    <cellStyle name="Normal" xfId="0" builtinId="0"/>
    <cellStyle name="Normal 2" xfId="4" xr:uid="{00000000-0005-0000-0000-000006000000}"/>
    <cellStyle name="Normal 3" xfId="5" xr:uid="{00000000-0005-0000-0000-000007000000}"/>
    <cellStyle name="Normal 4" xfId="6" xr:uid="{00000000-0005-0000-0000-000008000000}"/>
    <cellStyle name="Normal 5" xfId="9" xr:uid="{00000000-0005-0000-0000-000009000000}"/>
    <cellStyle name="Normal 7" xfId="7" xr:uid="{00000000-0005-0000-0000-00000A000000}"/>
    <cellStyle name="Normal_CSP-HUB" xfId="14" xr:uid="{00000000-0005-0000-0000-00000B000000}"/>
    <cellStyle name="Normal_CSP-HUB 2" xfId="15" xr:uid="{00000000-0005-0000-0000-00000C000000}"/>
    <cellStyle name="Percent" xfId="1" builtinId="5"/>
    <cellStyle name="Pourcentage 2" xfId="12"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www.hsbc.fr/1/2/hsbc-france/a-propos-d-hsbc/informations-financieres/hsbc-sfh-france/information" TargetMode="External"/><Relationship Id="rId7" Type="http://schemas.openxmlformats.org/officeDocument/2006/relationships/vmlDrawing" Target="../drawings/vmlDrawing10.vml"/><Relationship Id="rId2" Type="http://schemas.openxmlformats.org/officeDocument/2006/relationships/hyperlink" Target="http://www.hsbc.fr/1/2/hsbc-france/a-propos-d-hsbc/informations-financieres/hsbc-sfh-france/information" TargetMode="External"/><Relationship Id="rId1" Type="http://schemas.openxmlformats.org/officeDocument/2006/relationships/hyperlink" Target="http://www.hsbc.fr/1/2/hsbc-france/a-propos-d-hsbc/informations-financieres/hsbc-sfh-france/information" TargetMode="External"/><Relationship Id="rId6" Type="http://schemas.openxmlformats.org/officeDocument/2006/relationships/printerSettings" Target="../printerSettings/printerSettings10.bin"/><Relationship Id="rId5" Type="http://schemas.openxmlformats.org/officeDocument/2006/relationships/hyperlink" Target="http://www.about.hsbc.fr/fr-fr/investor-relations/regulatory-information" TargetMode="External"/><Relationship Id="rId4" Type="http://schemas.openxmlformats.org/officeDocument/2006/relationships/hyperlink" Target="https://www.hsbc.fr/1/2/hsbc-france/a-propos-d-hsbc/informations-financieres/information-reglemente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1223</v>
      </c>
    </row>
    <row r="3" spans="1:1" ht="15" x14ac:dyDescent="0.35">
      <c r="A3" s="122"/>
    </row>
    <row r="4" spans="1:1" ht="34" x14ac:dyDescent="0.35">
      <c r="A4" s="123" t="s">
        <v>1224</v>
      </c>
    </row>
    <row r="5" spans="1:1" ht="34" x14ac:dyDescent="0.35">
      <c r="A5" s="123" t="s">
        <v>1225</v>
      </c>
    </row>
    <row r="6" spans="1:1" ht="34" x14ac:dyDescent="0.35">
      <c r="A6" s="123" t="s">
        <v>1226</v>
      </c>
    </row>
    <row r="7" spans="1:1" ht="17" x14ac:dyDescent="0.35">
      <c r="A7" s="123"/>
    </row>
    <row r="8" spans="1:1" ht="18.5" x14ac:dyDescent="0.35">
      <c r="A8" s="124" t="s">
        <v>1227</v>
      </c>
    </row>
    <row r="9" spans="1:1" ht="34" x14ac:dyDescent="0.4">
      <c r="A9" s="133" t="s">
        <v>1389</v>
      </c>
    </row>
    <row r="10" spans="1:1" ht="68" x14ac:dyDescent="0.35">
      <c r="A10" s="126" t="s">
        <v>1228</v>
      </c>
    </row>
    <row r="11" spans="1:1" ht="34" x14ac:dyDescent="0.35">
      <c r="A11" s="126" t="s">
        <v>1229</v>
      </c>
    </row>
    <row r="12" spans="1:1" ht="17" x14ac:dyDescent="0.35">
      <c r="A12" s="126" t="s">
        <v>1230</v>
      </c>
    </row>
    <row r="13" spans="1:1" ht="17" x14ac:dyDescent="0.35">
      <c r="A13" s="126" t="s">
        <v>1231</v>
      </c>
    </row>
    <row r="14" spans="1:1" ht="17" x14ac:dyDescent="0.35">
      <c r="A14" s="126" t="s">
        <v>1232</v>
      </c>
    </row>
    <row r="15" spans="1:1" ht="17" x14ac:dyDescent="0.35">
      <c r="A15" s="126"/>
    </row>
    <row r="16" spans="1:1" ht="18.5" x14ac:dyDescent="0.35">
      <c r="A16" s="124" t="s">
        <v>1233</v>
      </c>
    </row>
    <row r="17" spans="1:1" ht="17" x14ac:dyDescent="0.35">
      <c r="A17" s="127" t="s">
        <v>1234</v>
      </c>
    </row>
    <row r="18" spans="1:1" ht="34" x14ac:dyDescent="0.35">
      <c r="A18" s="128" t="s">
        <v>1235</v>
      </c>
    </row>
    <row r="19" spans="1:1" ht="34" x14ac:dyDescent="0.35">
      <c r="A19" s="128" t="s">
        <v>1236</v>
      </c>
    </row>
    <row r="20" spans="1:1" ht="51" x14ac:dyDescent="0.35">
      <c r="A20" s="128" t="s">
        <v>1237</v>
      </c>
    </row>
    <row r="21" spans="1:1" ht="85" x14ac:dyDescent="0.35">
      <c r="A21" s="128" t="s">
        <v>1238</v>
      </c>
    </row>
    <row r="22" spans="1:1" ht="51" x14ac:dyDescent="0.35">
      <c r="A22" s="128" t="s">
        <v>1239</v>
      </c>
    </row>
    <row r="23" spans="1:1" ht="34" x14ac:dyDescent="0.35">
      <c r="A23" s="128" t="s">
        <v>1240</v>
      </c>
    </row>
    <row r="24" spans="1:1" ht="17" x14ac:dyDescent="0.35">
      <c r="A24" s="128" t="s">
        <v>1241</v>
      </c>
    </row>
    <row r="25" spans="1:1" ht="17" x14ac:dyDescent="0.35">
      <c r="A25" s="127" t="s">
        <v>1242</v>
      </c>
    </row>
    <row r="26" spans="1:1" ht="51" x14ac:dyDescent="0.4">
      <c r="A26" s="129" t="s">
        <v>1243</v>
      </c>
    </row>
    <row r="27" spans="1:1" ht="17" x14ac:dyDescent="0.4">
      <c r="A27" s="129" t="s">
        <v>1244</v>
      </c>
    </row>
    <row r="28" spans="1:1" ht="17" x14ac:dyDescent="0.35">
      <c r="A28" s="127" t="s">
        <v>1245</v>
      </c>
    </row>
    <row r="29" spans="1:1" ht="34" x14ac:dyDescent="0.35">
      <c r="A29" s="128" t="s">
        <v>1246</v>
      </c>
    </row>
    <row r="30" spans="1:1" ht="34" x14ac:dyDescent="0.35">
      <c r="A30" s="128" t="s">
        <v>1247</v>
      </c>
    </row>
    <row r="31" spans="1:1" ht="34" x14ac:dyDescent="0.35">
      <c r="A31" s="128" t="s">
        <v>1248</v>
      </c>
    </row>
    <row r="32" spans="1:1" ht="34" x14ac:dyDescent="0.35">
      <c r="A32" s="128" t="s">
        <v>1249</v>
      </c>
    </row>
    <row r="33" spans="1:1" ht="17" x14ac:dyDescent="0.35">
      <c r="A33" s="128"/>
    </row>
    <row r="34" spans="1:1" ht="18.5" x14ac:dyDescent="0.35">
      <c r="A34" s="124" t="s">
        <v>1250</v>
      </c>
    </row>
    <row r="35" spans="1:1" ht="17" x14ac:dyDescent="0.35">
      <c r="A35" s="127" t="s">
        <v>1251</v>
      </c>
    </row>
    <row r="36" spans="1:1" ht="34" x14ac:dyDescent="0.35">
      <c r="A36" s="128" t="s">
        <v>1252</v>
      </c>
    </row>
    <row r="37" spans="1:1" ht="34" x14ac:dyDescent="0.35">
      <c r="A37" s="128" t="s">
        <v>1253</v>
      </c>
    </row>
    <row r="38" spans="1:1" ht="34" x14ac:dyDescent="0.35">
      <c r="A38" s="128" t="s">
        <v>1254</v>
      </c>
    </row>
    <row r="39" spans="1:1" ht="17" x14ac:dyDescent="0.35">
      <c r="A39" s="128" t="s">
        <v>1255</v>
      </c>
    </row>
    <row r="40" spans="1:1" ht="17" x14ac:dyDescent="0.35">
      <c r="A40" s="128" t="s">
        <v>1256</v>
      </c>
    </row>
    <row r="41" spans="1:1" ht="17" x14ac:dyDescent="0.35">
      <c r="A41" s="127" t="s">
        <v>1257</v>
      </c>
    </row>
    <row r="42" spans="1:1" ht="17" x14ac:dyDescent="0.35">
      <c r="A42" s="128" t="s">
        <v>1258</v>
      </c>
    </row>
    <row r="43" spans="1:1" ht="17" x14ac:dyDescent="0.4">
      <c r="A43" s="129" t="s">
        <v>1259</v>
      </c>
    </row>
    <row r="44" spans="1:1" ht="17" x14ac:dyDescent="0.35">
      <c r="A44" s="127" t="s">
        <v>1260</v>
      </c>
    </row>
    <row r="45" spans="1:1" ht="34" x14ac:dyDescent="0.4">
      <c r="A45" s="129" t="s">
        <v>1261</v>
      </c>
    </row>
    <row r="46" spans="1:1" ht="34" x14ac:dyDescent="0.35">
      <c r="A46" s="128" t="s">
        <v>1262</v>
      </c>
    </row>
    <row r="47" spans="1:1" ht="34" x14ac:dyDescent="0.35">
      <c r="A47" s="128" t="s">
        <v>1263</v>
      </c>
    </row>
    <row r="48" spans="1:1" ht="17" x14ac:dyDescent="0.35">
      <c r="A48" s="128" t="s">
        <v>1264</v>
      </c>
    </row>
    <row r="49" spans="1:1" ht="17" x14ac:dyDescent="0.4">
      <c r="A49" s="129" t="s">
        <v>1265</v>
      </c>
    </row>
    <row r="50" spans="1:1" ht="17" x14ac:dyDescent="0.35">
      <c r="A50" s="127" t="s">
        <v>1266</v>
      </c>
    </row>
    <row r="51" spans="1:1" ht="34" x14ac:dyDescent="0.4">
      <c r="A51" s="129" t="s">
        <v>1267</v>
      </c>
    </row>
    <row r="52" spans="1:1" ht="17" x14ac:dyDescent="0.35">
      <c r="A52" s="128" t="s">
        <v>1268</v>
      </c>
    </row>
    <row r="53" spans="1:1" ht="34" x14ac:dyDescent="0.4">
      <c r="A53" s="129" t="s">
        <v>1269</v>
      </c>
    </row>
    <row r="54" spans="1:1" ht="17" x14ac:dyDescent="0.35">
      <c r="A54" s="127" t="s">
        <v>1270</v>
      </c>
    </row>
    <row r="55" spans="1:1" ht="17" x14ac:dyDescent="0.4">
      <c r="A55" s="129" t="s">
        <v>1271</v>
      </c>
    </row>
    <row r="56" spans="1:1" ht="34" x14ac:dyDescent="0.35">
      <c r="A56" s="128" t="s">
        <v>1272</v>
      </c>
    </row>
    <row r="57" spans="1:1" ht="17" x14ac:dyDescent="0.35">
      <c r="A57" s="128" t="s">
        <v>1273</v>
      </c>
    </row>
    <row r="58" spans="1:1" ht="17" x14ac:dyDescent="0.35">
      <c r="A58" s="128" t="s">
        <v>1274</v>
      </c>
    </row>
    <row r="59" spans="1:1" ht="17" x14ac:dyDescent="0.35">
      <c r="A59" s="127" t="s">
        <v>1275</v>
      </c>
    </row>
    <row r="60" spans="1:1" ht="17" x14ac:dyDescent="0.35">
      <c r="A60" s="128" t="s">
        <v>1276</v>
      </c>
    </row>
    <row r="61" spans="1:1" ht="17" x14ac:dyDescent="0.35">
      <c r="A61" s="130"/>
    </row>
    <row r="62" spans="1:1" ht="18.5" x14ac:dyDescent="0.35">
      <c r="A62" s="124" t="s">
        <v>1277</v>
      </c>
    </row>
    <row r="63" spans="1:1" ht="17" x14ac:dyDescent="0.35">
      <c r="A63" s="127" t="s">
        <v>1278</v>
      </c>
    </row>
    <row r="64" spans="1:1" ht="34" x14ac:dyDescent="0.35">
      <c r="A64" s="128" t="s">
        <v>1279</v>
      </c>
    </row>
    <row r="65" spans="1:1" ht="17" x14ac:dyDescent="0.35">
      <c r="A65" s="128" t="s">
        <v>1280</v>
      </c>
    </row>
    <row r="66" spans="1:1" ht="34" x14ac:dyDescent="0.35">
      <c r="A66" s="126" t="s">
        <v>1281</v>
      </c>
    </row>
    <row r="67" spans="1:1" ht="34" x14ac:dyDescent="0.35">
      <c r="A67" s="126" t="s">
        <v>1282</v>
      </c>
    </row>
    <row r="68" spans="1:1" ht="34" x14ac:dyDescent="0.35">
      <c r="A68" s="126" t="s">
        <v>1283</v>
      </c>
    </row>
    <row r="69" spans="1:1" ht="17" x14ac:dyDescent="0.35">
      <c r="A69" s="131" t="s">
        <v>1284</v>
      </c>
    </row>
    <row r="70" spans="1:1" ht="34" x14ac:dyDescent="0.35">
      <c r="A70" s="126" t="s">
        <v>1285</v>
      </c>
    </row>
    <row r="71" spans="1:1" ht="17" x14ac:dyDescent="0.35">
      <c r="A71" s="126" t="s">
        <v>1286</v>
      </c>
    </row>
    <row r="72" spans="1:1" ht="17" x14ac:dyDescent="0.35">
      <c r="A72" s="131" t="s">
        <v>1287</v>
      </c>
    </row>
    <row r="73" spans="1:1" ht="17" x14ac:dyDescent="0.35">
      <c r="A73" s="126" t="s">
        <v>1288</v>
      </c>
    </row>
    <row r="74" spans="1:1" ht="17" x14ac:dyDescent="0.35">
      <c r="A74" s="131" t="s">
        <v>1289</v>
      </c>
    </row>
    <row r="75" spans="1:1" ht="34" x14ac:dyDescent="0.35">
      <c r="A75" s="126" t="s">
        <v>1290</v>
      </c>
    </row>
    <row r="76" spans="1:1" ht="17" x14ac:dyDescent="0.35">
      <c r="A76" s="126" t="s">
        <v>1291</v>
      </c>
    </row>
    <row r="77" spans="1:1" ht="51" x14ac:dyDescent="0.35">
      <c r="A77" s="126" t="s">
        <v>1292</v>
      </c>
    </row>
    <row r="78" spans="1:1" ht="17" x14ac:dyDescent="0.35">
      <c r="A78" s="131" t="s">
        <v>1293</v>
      </c>
    </row>
    <row r="79" spans="1:1" ht="17" x14ac:dyDescent="0.4">
      <c r="A79" s="125" t="s">
        <v>1294</v>
      </c>
    </row>
    <row r="80" spans="1:1" ht="17" x14ac:dyDescent="0.35">
      <c r="A80" s="131" t="s">
        <v>1295</v>
      </c>
    </row>
    <row r="81" spans="1:1" ht="34" x14ac:dyDescent="0.35">
      <c r="A81" s="126" t="s">
        <v>1296</v>
      </c>
    </row>
    <row r="82" spans="1:1" ht="34" x14ac:dyDescent="0.35">
      <c r="A82" s="126" t="s">
        <v>1297</v>
      </c>
    </row>
    <row r="83" spans="1:1" ht="34" x14ac:dyDescent="0.35">
      <c r="A83" s="126" t="s">
        <v>1298</v>
      </c>
    </row>
    <row r="84" spans="1:1" ht="34" x14ac:dyDescent="0.35">
      <c r="A84" s="126" t="s">
        <v>1299</v>
      </c>
    </row>
    <row r="85" spans="1:1" ht="34" x14ac:dyDescent="0.35">
      <c r="A85" s="126" t="s">
        <v>1300</v>
      </c>
    </row>
    <row r="86" spans="1:1" ht="17" x14ac:dyDescent="0.35">
      <c r="A86" s="131" t="s">
        <v>1301</v>
      </c>
    </row>
    <row r="87" spans="1:1" ht="17" x14ac:dyDescent="0.35">
      <c r="A87" s="126" t="s">
        <v>1302</v>
      </c>
    </row>
    <row r="88" spans="1:1" ht="17" x14ac:dyDescent="0.35">
      <c r="A88" s="126" t="s">
        <v>1303</v>
      </c>
    </row>
    <row r="89" spans="1:1" ht="17" x14ac:dyDescent="0.35">
      <c r="A89" s="131" t="s">
        <v>1304</v>
      </c>
    </row>
    <row r="90" spans="1:1" ht="34" x14ac:dyDescent="0.35">
      <c r="A90" s="126" t="s">
        <v>1305</v>
      </c>
    </row>
    <row r="91" spans="1:1" ht="17" x14ac:dyDescent="0.35">
      <c r="A91" s="131" t="s">
        <v>1306</v>
      </c>
    </row>
    <row r="92" spans="1:1" ht="17" x14ac:dyDescent="0.4">
      <c r="A92" s="125" t="s">
        <v>1307</v>
      </c>
    </row>
    <row r="93" spans="1:1" ht="17" x14ac:dyDescent="0.35">
      <c r="A93" s="126" t="s">
        <v>1308</v>
      </c>
    </row>
    <row r="94" spans="1:1" ht="17" x14ac:dyDescent="0.35">
      <c r="A94" s="126"/>
    </row>
    <row r="95" spans="1:1" ht="18.5" x14ac:dyDescent="0.35">
      <c r="A95" s="124" t="s">
        <v>1309</v>
      </c>
    </row>
    <row r="96" spans="1:1" ht="34" x14ac:dyDescent="0.4">
      <c r="A96" s="125" t="s">
        <v>1310</v>
      </c>
    </row>
    <row r="97" spans="1:1" ht="17" x14ac:dyDescent="0.4">
      <c r="A97" s="125" t="s">
        <v>1311</v>
      </c>
    </row>
    <row r="98" spans="1:1" ht="17" x14ac:dyDescent="0.35">
      <c r="A98" s="131" t="s">
        <v>1312</v>
      </c>
    </row>
    <row r="99" spans="1:1" ht="17" x14ac:dyDescent="0.35">
      <c r="A99" s="123" t="s">
        <v>1313</v>
      </c>
    </row>
    <row r="100" spans="1:1" ht="17" x14ac:dyDescent="0.35">
      <c r="A100" s="126" t="s">
        <v>1314</v>
      </c>
    </row>
    <row r="101" spans="1:1" ht="17" x14ac:dyDescent="0.35">
      <c r="A101" s="126" t="s">
        <v>1315</v>
      </c>
    </row>
    <row r="102" spans="1:1" ht="17" x14ac:dyDescent="0.35">
      <c r="A102" s="126" t="s">
        <v>1316</v>
      </c>
    </row>
    <row r="103" spans="1:1" ht="17" x14ac:dyDescent="0.35">
      <c r="A103" s="126" t="s">
        <v>1317</v>
      </c>
    </row>
    <row r="104" spans="1:1" ht="34" x14ac:dyDescent="0.35">
      <c r="A104" s="126" t="s">
        <v>1318</v>
      </c>
    </row>
    <row r="105" spans="1:1" ht="17" x14ac:dyDescent="0.35">
      <c r="A105" s="123" t="s">
        <v>1319</v>
      </c>
    </row>
    <row r="106" spans="1:1" ht="17" x14ac:dyDescent="0.35">
      <c r="A106" s="126" t="s">
        <v>1320</v>
      </c>
    </row>
    <row r="107" spans="1:1" ht="17" x14ac:dyDescent="0.35">
      <c r="A107" s="126" t="s">
        <v>1321</v>
      </c>
    </row>
    <row r="108" spans="1:1" ht="17" x14ac:dyDescent="0.35">
      <c r="A108" s="126" t="s">
        <v>1322</v>
      </c>
    </row>
    <row r="109" spans="1:1" ht="17" x14ac:dyDescent="0.35">
      <c r="A109" s="126" t="s">
        <v>1323</v>
      </c>
    </row>
    <row r="110" spans="1:1" ht="17" x14ac:dyDescent="0.35">
      <c r="A110" s="126" t="s">
        <v>1324</v>
      </c>
    </row>
    <row r="111" spans="1:1" ht="17" x14ac:dyDescent="0.35">
      <c r="A111" s="126" t="s">
        <v>1325</v>
      </c>
    </row>
    <row r="112" spans="1:1" ht="17" x14ac:dyDescent="0.35">
      <c r="A112" s="131" t="s">
        <v>1326</v>
      </c>
    </row>
    <row r="113" spans="1:1" ht="17" x14ac:dyDescent="0.35">
      <c r="A113" s="126" t="s">
        <v>1327</v>
      </c>
    </row>
    <row r="114" spans="1:1" ht="17" x14ac:dyDescent="0.35">
      <c r="A114" s="123" t="s">
        <v>1328</v>
      </c>
    </row>
    <row r="115" spans="1:1" ht="17" x14ac:dyDescent="0.35">
      <c r="A115" s="126" t="s">
        <v>1329</v>
      </c>
    </row>
    <row r="116" spans="1:1" ht="17" x14ac:dyDescent="0.35">
      <c r="A116" s="126" t="s">
        <v>1330</v>
      </c>
    </row>
    <row r="117" spans="1:1" ht="17" x14ac:dyDescent="0.35">
      <c r="A117" s="123" t="s">
        <v>1331</v>
      </c>
    </row>
    <row r="118" spans="1:1" ht="17" x14ac:dyDescent="0.35">
      <c r="A118" s="126" t="s">
        <v>1332</v>
      </c>
    </row>
    <row r="119" spans="1:1" ht="17" x14ac:dyDescent="0.35">
      <c r="A119" s="126" t="s">
        <v>1333</v>
      </c>
    </row>
    <row r="120" spans="1:1" ht="17" x14ac:dyDescent="0.35">
      <c r="A120" s="126" t="s">
        <v>1334</v>
      </c>
    </row>
    <row r="121" spans="1:1" ht="17" x14ac:dyDescent="0.35">
      <c r="A121" s="131" t="s">
        <v>1335</v>
      </c>
    </row>
    <row r="122" spans="1:1" ht="17" x14ac:dyDescent="0.35">
      <c r="A122" s="123" t="s">
        <v>1336</v>
      </c>
    </row>
    <row r="123" spans="1:1" ht="17" x14ac:dyDescent="0.35">
      <c r="A123" s="123" t="s">
        <v>1337</v>
      </c>
    </row>
    <row r="124" spans="1:1" ht="17" x14ac:dyDescent="0.35">
      <c r="A124" s="126" t="s">
        <v>1338</v>
      </c>
    </row>
    <row r="125" spans="1:1" ht="17" x14ac:dyDescent="0.35">
      <c r="A125" s="126" t="s">
        <v>1339</v>
      </c>
    </row>
    <row r="126" spans="1:1" ht="17" x14ac:dyDescent="0.35">
      <c r="A126" s="126" t="s">
        <v>1340</v>
      </c>
    </row>
    <row r="127" spans="1:1" ht="17" x14ac:dyDescent="0.35">
      <c r="A127" s="126" t="s">
        <v>1341</v>
      </c>
    </row>
    <row r="128" spans="1:1" ht="17" x14ac:dyDescent="0.35">
      <c r="A128" s="126" t="s">
        <v>1342</v>
      </c>
    </row>
    <row r="129" spans="1:1" ht="17" x14ac:dyDescent="0.35">
      <c r="A129" s="131" t="s">
        <v>1343</v>
      </c>
    </row>
    <row r="130" spans="1:1" ht="34" x14ac:dyDescent="0.35">
      <c r="A130" s="126" t="s">
        <v>1344</v>
      </c>
    </row>
    <row r="131" spans="1:1" ht="68" x14ac:dyDescent="0.35">
      <c r="A131" s="126" t="s">
        <v>1345</v>
      </c>
    </row>
    <row r="132" spans="1:1" ht="34" x14ac:dyDescent="0.35">
      <c r="A132" s="126" t="s">
        <v>1346</v>
      </c>
    </row>
    <row r="133" spans="1:1" ht="17" x14ac:dyDescent="0.35">
      <c r="A133" s="131" t="s">
        <v>1347</v>
      </c>
    </row>
    <row r="134" spans="1:1" ht="34" x14ac:dyDescent="0.35">
      <c r="A134" s="123" t="s">
        <v>1348</v>
      </c>
    </row>
    <row r="135" spans="1:1" ht="17" x14ac:dyDescent="0.35">
      <c r="A135" s="123"/>
    </row>
    <row r="136" spans="1:1" ht="18.5" x14ac:dyDescent="0.35">
      <c r="A136" s="124" t="s">
        <v>1349</v>
      </c>
    </row>
    <row r="137" spans="1:1" ht="17" x14ac:dyDescent="0.35">
      <c r="A137" s="126" t="s">
        <v>1350</v>
      </c>
    </row>
    <row r="138" spans="1:1" ht="34" x14ac:dyDescent="0.35">
      <c r="A138" s="128" t="s">
        <v>1351</v>
      </c>
    </row>
    <row r="139" spans="1:1" ht="34" x14ac:dyDescent="0.35">
      <c r="A139" s="128" t="s">
        <v>1352</v>
      </c>
    </row>
    <row r="140" spans="1:1" ht="17" x14ac:dyDescent="0.35">
      <c r="A140" s="127" t="s">
        <v>1353</v>
      </c>
    </row>
    <row r="141" spans="1:1" ht="17" x14ac:dyDescent="0.35">
      <c r="A141" s="132" t="s">
        <v>1354</v>
      </c>
    </row>
    <row r="142" spans="1:1" ht="34" x14ac:dyDescent="0.4">
      <c r="A142" s="129" t="s">
        <v>1355</v>
      </c>
    </row>
    <row r="143" spans="1:1" ht="17" x14ac:dyDescent="0.35">
      <c r="A143" s="128" t="s">
        <v>1356</v>
      </c>
    </row>
    <row r="144" spans="1:1" ht="17" x14ac:dyDescent="0.35">
      <c r="A144" s="128" t="s">
        <v>1357</v>
      </c>
    </row>
    <row r="145" spans="1:1" ht="17" x14ac:dyDescent="0.35">
      <c r="A145" s="132" t="s">
        <v>1358</v>
      </c>
    </row>
    <row r="146" spans="1:1" ht="17" x14ac:dyDescent="0.35">
      <c r="A146" s="127" t="s">
        <v>1359</v>
      </c>
    </row>
    <row r="147" spans="1:1" ht="17" x14ac:dyDescent="0.35">
      <c r="A147" s="132" t="s">
        <v>1360</v>
      </c>
    </row>
    <row r="148" spans="1:1" ht="17" x14ac:dyDescent="0.35">
      <c r="A148" s="128" t="s">
        <v>1361</v>
      </c>
    </row>
    <row r="149" spans="1:1" ht="17" x14ac:dyDescent="0.35">
      <c r="A149" s="128" t="s">
        <v>1362</v>
      </c>
    </row>
    <row r="150" spans="1:1" ht="17" x14ac:dyDescent="0.35">
      <c r="A150" s="128" t="s">
        <v>1363</v>
      </c>
    </row>
    <row r="151" spans="1:1" ht="34" x14ac:dyDescent="0.35">
      <c r="A151" s="132" t="s">
        <v>1364</v>
      </c>
    </row>
    <row r="152" spans="1:1" ht="17" x14ac:dyDescent="0.35">
      <c r="A152" s="127" t="s">
        <v>1365</v>
      </c>
    </row>
    <row r="153" spans="1:1" ht="17" x14ac:dyDescent="0.35">
      <c r="A153" s="128" t="s">
        <v>1366</v>
      </c>
    </row>
    <row r="154" spans="1:1" ht="17" x14ac:dyDescent="0.35">
      <c r="A154" s="128" t="s">
        <v>1367</v>
      </c>
    </row>
    <row r="155" spans="1:1" ht="17" x14ac:dyDescent="0.35">
      <c r="A155" s="128" t="s">
        <v>1368</v>
      </c>
    </row>
    <row r="156" spans="1:1" ht="17" x14ac:dyDescent="0.35">
      <c r="A156" s="128" t="s">
        <v>1369</v>
      </c>
    </row>
    <row r="157" spans="1:1" ht="34" x14ac:dyDescent="0.35">
      <c r="A157" s="128" t="s">
        <v>1370</v>
      </c>
    </row>
    <row r="158" spans="1:1" ht="34" x14ac:dyDescent="0.35">
      <c r="A158" s="128" t="s">
        <v>1371</v>
      </c>
    </row>
    <row r="159" spans="1:1" ht="17" x14ac:dyDescent="0.35">
      <c r="A159" s="127" t="s">
        <v>1372</v>
      </c>
    </row>
    <row r="160" spans="1:1" ht="34" x14ac:dyDescent="0.35">
      <c r="A160" s="128" t="s">
        <v>1373</v>
      </c>
    </row>
    <row r="161" spans="1:1" ht="34" x14ac:dyDescent="0.35">
      <c r="A161" s="128" t="s">
        <v>1374</v>
      </c>
    </row>
    <row r="162" spans="1:1" ht="17" x14ac:dyDescent="0.35">
      <c r="A162" s="128" t="s">
        <v>1375</v>
      </c>
    </row>
    <row r="163" spans="1:1" ht="17" x14ac:dyDescent="0.35">
      <c r="A163" s="127" t="s">
        <v>1376</v>
      </c>
    </row>
    <row r="164" spans="1:1" ht="34" x14ac:dyDescent="0.4">
      <c r="A164" s="134" t="s">
        <v>1390</v>
      </c>
    </row>
    <row r="165" spans="1:1" ht="34" x14ac:dyDescent="0.35">
      <c r="A165" s="128" t="s">
        <v>1377</v>
      </c>
    </row>
    <row r="166" spans="1:1" ht="17" x14ac:dyDescent="0.35">
      <c r="A166" s="127" t="s">
        <v>1378</v>
      </c>
    </row>
    <row r="167" spans="1:1" ht="17" x14ac:dyDescent="0.35">
      <c r="A167" s="128" t="s">
        <v>1379</v>
      </c>
    </row>
    <row r="168" spans="1:1" ht="17" x14ac:dyDescent="0.35">
      <c r="A168" s="127" t="s">
        <v>1380</v>
      </c>
    </row>
    <row r="169" spans="1:1" ht="17" x14ac:dyDescent="0.4">
      <c r="A169" s="129" t="s">
        <v>1381</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M220"/>
  <sheetViews>
    <sheetView tabSelected="1" view="pageBreakPreview" zoomScaleNormal="100" zoomScaleSheetLayoutView="100" workbookViewId="0">
      <selection activeCell="C7" sqref="C7"/>
    </sheetView>
  </sheetViews>
  <sheetFormatPr defaultColWidth="11.453125" defaultRowHeight="12.5" x14ac:dyDescent="0.25"/>
  <cols>
    <col min="1" max="1" width="5.453125" style="430" customWidth="1"/>
    <col min="2" max="2" width="23.26953125" style="431" customWidth="1"/>
    <col min="3" max="3" width="19.7265625" style="431" customWidth="1"/>
    <col min="4" max="4" width="15.26953125" style="431" customWidth="1"/>
    <col min="5" max="5" width="15.1796875" style="431" customWidth="1"/>
    <col min="6" max="6" width="29.1796875" style="431" customWidth="1"/>
    <col min="7" max="8" width="14.26953125" style="431" customWidth="1"/>
    <col min="9" max="9" width="15.453125" style="431" bestFit="1" customWidth="1"/>
    <col min="10" max="10" width="16.54296875" style="431" customWidth="1"/>
    <col min="11" max="11" width="3.7265625" style="431" bestFit="1" customWidth="1"/>
    <col min="12" max="12" width="11.453125" style="431"/>
    <col min="13" max="13" width="16.453125" style="431" bestFit="1" customWidth="1"/>
    <col min="14" max="254" width="11.453125" style="431"/>
    <col min="255" max="255" width="5.453125" style="431" customWidth="1"/>
    <col min="256" max="256" width="20.7265625" style="431" customWidth="1"/>
    <col min="257" max="257" width="19.7265625" style="431" customWidth="1"/>
    <col min="258" max="258" width="15.26953125" style="431" customWidth="1"/>
    <col min="259" max="259" width="15.1796875" style="431" customWidth="1"/>
    <col min="260" max="260" width="28.1796875" style="431" bestFit="1" customWidth="1"/>
    <col min="261" max="262" width="14.26953125" style="431" customWidth="1"/>
    <col min="263" max="263" width="14.453125" style="431" bestFit="1" customWidth="1"/>
    <col min="264" max="264" width="16.54296875" style="431" customWidth="1"/>
    <col min="265" max="265" width="3.7265625" style="431" bestFit="1" customWidth="1"/>
    <col min="266" max="266" width="11.453125" style="431"/>
    <col min="267" max="267" width="16.54296875" style="431" bestFit="1" customWidth="1"/>
    <col min="268" max="510" width="11.453125" style="431"/>
    <col min="511" max="511" width="5.453125" style="431" customWidth="1"/>
    <col min="512" max="512" width="20.7265625" style="431" customWidth="1"/>
    <col min="513" max="513" width="19.7265625" style="431" customWidth="1"/>
    <col min="514" max="514" width="15.26953125" style="431" customWidth="1"/>
    <col min="515" max="515" width="15.1796875" style="431" customWidth="1"/>
    <col min="516" max="516" width="28.1796875" style="431" bestFit="1" customWidth="1"/>
    <col min="517" max="518" width="14.26953125" style="431" customWidth="1"/>
    <col min="519" max="519" width="14.453125" style="431" bestFit="1" customWidth="1"/>
    <col min="520" max="520" width="16.54296875" style="431" customWidth="1"/>
    <col min="521" max="521" width="3.7265625" style="431" bestFit="1" customWidth="1"/>
    <col min="522" max="522" width="11.453125" style="431"/>
    <col min="523" max="523" width="16.54296875" style="431" bestFit="1" customWidth="1"/>
    <col min="524" max="766" width="11.453125" style="431"/>
    <col min="767" max="767" width="5.453125" style="431" customWidth="1"/>
    <col min="768" max="768" width="20.7265625" style="431" customWidth="1"/>
    <col min="769" max="769" width="19.7265625" style="431" customWidth="1"/>
    <col min="770" max="770" width="15.26953125" style="431" customWidth="1"/>
    <col min="771" max="771" width="15.1796875" style="431" customWidth="1"/>
    <col min="772" max="772" width="28.1796875" style="431" bestFit="1" customWidth="1"/>
    <col min="773" max="774" width="14.26953125" style="431" customWidth="1"/>
    <col min="775" max="775" width="14.453125" style="431" bestFit="1" customWidth="1"/>
    <col min="776" max="776" width="16.54296875" style="431" customWidth="1"/>
    <col min="777" max="777" width="3.7265625" style="431" bestFit="1" customWidth="1"/>
    <col min="778" max="778" width="11.453125" style="431"/>
    <col min="779" max="779" width="16.54296875" style="431" bestFit="1" customWidth="1"/>
    <col min="780" max="1022" width="11.453125" style="431"/>
    <col min="1023" max="1023" width="5.453125" style="431" customWidth="1"/>
    <col min="1024" max="1024" width="20.7265625" style="431" customWidth="1"/>
    <col min="1025" max="1025" width="19.7265625" style="431" customWidth="1"/>
    <col min="1026" max="1026" width="15.26953125" style="431" customWidth="1"/>
    <col min="1027" max="1027" width="15.1796875" style="431" customWidth="1"/>
    <col min="1028" max="1028" width="28.1796875" style="431" bestFit="1" customWidth="1"/>
    <col min="1029" max="1030" width="14.26953125" style="431" customWidth="1"/>
    <col min="1031" max="1031" width="14.453125" style="431" bestFit="1" customWidth="1"/>
    <col min="1032" max="1032" width="16.54296875" style="431" customWidth="1"/>
    <col min="1033" max="1033" width="3.7265625" style="431" bestFit="1" customWidth="1"/>
    <col min="1034" max="1034" width="11.453125" style="431"/>
    <col min="1035" max="1035" width="16.54296875" style="431" bestFit="1" customWidth="1"/>
    <col min="1036" max="1278" width="11.453125" style="431"/>
    <col min="1279" max="1279" width="5.453125" style="431" customWidth="1"/>
    <col min="1280" max="1280" width="20.7265625" style="431" customWidth="1"/>
    <col min="1281" max="1281" width="19.7265625" style="431" customWidth="1"/>
    <col min="1282" max="1282" width="15.26953125" style="431" customWidth="1"/>
    <col min="1283" max="1283" width="15.1796875" style="431" customWidth="1"/>
    <col min="1284" max="1284" width="28.1796875" style="431" bestFit="1" customWidth="1"/>
    <col min="1285" max="1286" width="14.26953125" style="431" customWidth="1"/>
    <col min="1287" max="1287" width="14.453125" style="431" bestFit="1" customWidth="1"/>
    <col min="1288" max="1288" width="16.54296875" style="431" customWidth="1"/>
    <col min="1289" max="1289" width="3.7265625" style="431" bestFit="1" customWidth="1"/>
    <col min="1290" max="1290" width="11.453125" style="431"/>
    <col min="1291" max="1291" width="16.54296875" style="431" bestFit="1" customWidth="1"/>
    <col min="1292" max="1534" width="11.453125" style="431"/>
    <col min="1535" max="1535" width="5.453125" style="431" customWidth="1"/>
    <col min="1536" max="1536" width="20.7265625" style="431" customWidth="1"/>
    <col min="1537" max="1537" width="19.7265625" style="431" customWidth="1"/>
    <col min="1538" max="1538" width="15.26953125" style="431" customWidth="1"/>
    <col min="1539" max="1539" width="15.1796875" style="431" customWidth="1"/>
    <col min="1540" max="1540" width="28.1796875" style="431" bestFit="1" customWidth="1"/>
    <col min="1541" max="1542" width="14.26953125" style="431" customWidth="1"/>
    <col min="1543" max="1543" width="14.453125" style="431" bestFit="1" customWidth="1"/>
    <col min="1544" max="1544" width="16.54296875" style="431" customWidth="1"/>
    <col min="1545" max="1545" width="3.7265625" style="431" bestFit="1" customWidth="1"/>
    <col min="1546" max="1546" width="11.453125" style="431"/>
    <col min="1547" max="1547" width="16.54296875" style="431" bestFit="1" customWidth="1"/>
    <col min="1548" max="1790" width="11.453125" style="431"/>
    <col min="1791" max="1791" width="5.453125" style="431" customWidth="1"/>
    <col min="1792" max="1792" width="20.7265625" style="431" customWidth="1"/>
    <col min="1793" max="1793" width="19.7265625" style="431" customWidth="1"/>
    <col min="1794" max="1794" width="15.26953125" style="431" customWidth="1"/>
    <col min="1795" max="1795" width="15.1796875" style="431" customWidth="1"/>
    <col min="1796" max="1796" width="28.1796875" style="431" bestFit="1" customWidth="1"/>
    <col min="1797" max="1798" width="14.26953125" style="431" customWidth="1"/>
    <col min="1799" max="1799" width="14.453125" style="431" bestFit="1" customWidth="1"/>
    <col min="1800" max="1800" width="16.54296875" style="431" customWidth="1"/>
    <col min="1801" max="1801" width="3.7265625" style="431" bestFit="1" customWidth="1"/>
    <col min="1802" max="1802" width="11.453125" style="431"/>
    <col min="1803" max="1803" width="16.54296875" style="431" bestFit="1" customWidth="1"/>
    <col min="1804" max="2046" width="11.453125" style="431"/>
    <col min="2047" max="2047" width="5.453125" style="431" customWidth="1"/>
    <col min="2048" max="2048" width="20.7265625" style="431" customWidth="1"/>
    <col min="2049" max="2049" width="19.7265625" style="431" customWidth="1"/>
    <col min="2050" max="2050" width="15.26953125" style="431" customWidth="1"/>
    <col min="2051" max="2051" width="15.1796875" style="431" customWidth="1"/>
    <col min="2052" max="2052" width="28.1796875" style="431" bestFit="1" customWidth="1"/>
    <col min="2053" max="2054" width="14.26953125" style="431" customWidth="1"/>
    <col min="2055" max="2055" width="14.453125" style="431" bestFit="1" customWidth="1"/>
    <col min="2056" max="2056" width="16.54296875" style="431" customWidth="1"/>
    <col min="2057" max="2057" width="3.7265625" style="431" bestFit="1" customWidth="1"/>
    <col min="2058" max="2058" width="11.453125" style="431"/>
    <col min="2059" max="2059" width="16.54296875" style="431" bestFit="1" customWidth="1"/>
    <col min="2060" max="2302" width="11.453125" style="431"/>
    <col min="2303" max="2303" width="5.453125" style="431" customWidth="1"/>
    <col min="2304" max="2304" width="20.7265625" style="431" customWidth="1"/>
    <col min="2305" max="2305" width="19.7265625" style="431" customWidth="1"/>
    <col min="2306" max="2306" width="15.26953125" style="431" customWidth="1"/>
    <col min="2307" max="2307" width="15.1796875" style="431" customWidth="1"/>
    <col min="2308" max="2308" width="28.1796875" style="431" bestFit="1" customWidth="1"/>
    <col min="2309" max="2310" width="14.26953125" style="431" customWidth="1"/>
    <col min="2311" max="2311" width="14.453125" style="431" bestFit="1" customWidth="1"/>
    <col min="2312" max="2312" width="16.54296875" style="431" customWidth="1"/>
    <col min="2313" max="2313" width="3.7265625" style="431" bestFit="1" customWidth="1"/>
    <col min="2314" max="2314" width="11.453125" style="431"/>
    <col min="2315" max="2315" width="16.54296875" style="431" bestFit="1" customWidth="1"/>
    <col min="2316" max="2558" width="11.453125" style="431"/>
    <col min="2559" max="2559" width="5.453125" style="431" customWidth="1"/>
    <col min="2560" max="2560" width="20.7265625" style="431" customWidth="1"/>
    <col min="2561" max="2561" width="19.7265625" style="431" customWidth="1"/>
    <col min="2562" max="2562" width="15.26953125" style="431" customWidth="1"/>
    <col min="2563" max="2563" width="15.1796875" style="431" customWidth="1"/>
    <col min="2564" max="2564" width="28.1796875" style="431" bestFit="1" customWidth="1"/>
    <col min="2565" max="2566" width="14.26953125" style="431" customWidth="1"/>
    <col min="2567" max="2567" width="14.453125" style="431" bestFit="1" customWidth="1"/>
    <col min="2568" max="2568" width="16.54296875" style="431" customWidth="1"/>
    <col min="2569" max="2569" width="3.7265625" style="431" bestFit="1" customWidth="1"/>
    <col min="2570" max="2570" width="11.453125" style="431"/>
    <col min="2571" max="2571" width="16.54296875" style="431" bestFit="1" customWidth="1"/>
    <col min="2572" max="2814" width="11.453125" style="431"/>
    <col min="2815" max="2815" width="5.453125" style="431" customWidth="1"/>
    <col min="2816" max="2816" width="20.7265625" style="431" customWidth="1"/>
    <col min="2817" max="2817" width="19.7265625" style="431" customWidth="1"/>
    <col min="2818" max="2818" width="15.26953125" style="431" customWidth="1"/>
    <col min="2819" max="2819" width="15.1796875" style="431" customWidth="1"/>
    <col min="2820" max="2820" width="28.1796875" style="431" bestFit="1" customWidth="1"/>
    <col min="2821" max="2822" width="14.26953125" style="431" customWidth="1"/>
    <col min="2823" max="2823" width="14.453125" style="431" bestFit="1" customWidth="1"/>
    <col min="2824" max="2824" width="16.54296875" style="431" customWidth="1"/>
    <col min="2825" max="2825" width="3.7265625" style="431" bestFit="1" customWidth="1"/>
    <col min="2826" max="2826" width="11.453125" style="431"/>
    <col min="2827" max="2827" width="16.54296875" style="431" bestFit="1" customWidth="1"/>
    <col min="2828" max="3070" width="11.453125" style="431"/>
    <col min="3071" max="3071" width="5.453125" style="431" customWidth="1"/>
    <col min="3072" max="3072" width="20.7265625" style="431" customWidth="1"/>
    <col min="3073" max="3073" width="19.7265625" style="431" customWidth="1"/>
    <col min="3074" max="3074" width="15.26953125" style="431" customWidth="1"/>
    <col min="3075" max="3075" width="15.1796875" style="431" customWidth="1"/>
    <col min="3076" max="3076" width="28.1796875" style="431" bestFit="1" customWidth="1"/>
    <col min="3077" max="3078" width="14.26953125" style="431" customWidth="1"/>
    <col min="3079" max="3079" width="14.453125" style="431" bestFit="1" customWidth="1"/>
    <col min="3080" max="3080" width="16.54296875" style="431" customWidth="1"/>
    <col min="3081" max="3081" width="3.7265625" style="431" bestFit="1" customWidth="1"/>
    <col min="3082" max="3082" width="11.453125" style="431"/>
    <col min="3083" max="3083" width="16.54296875" style="431" bestFit="1" customWidth="1"/>
    <col min="3084" max="3326" width="11.453125" style="431"/>
    <col min="3327" max="3327" width="5.453125" style="431" customWidth="1"/>
    <col min="3328" max="3328" width="20.7265625" style="431" customWidth="1"/>
    <col min="3329" max="3329" width="19.7265625" style="431" customWidth="1"/>
    <col min="3330" max="3330" width="15.26953125" style="431" customWidth="1"/>
    <col min="3331" max="3331" width="15.1796875" style="431" customWidth="1"/>
    <col min="3332" max="3332" width="28.1796875" style="431" bestFit="1" customWidth="1"/>
    <col min="3333" max="3334" width="14.26953125" style="431" customWidth="1"/>
    <col min="3335" max="3335" width="14.453125" style="431" bestFit="1" customWidth="1"/>
    <col min="3336" max="3336" width="16.54296875" style="431" customWidth="1"/>
    <col min="3337" max="3337" width="3.7265625" style="431" bestFit="1" customWidth="1"/>
    <col min="3338" max="3338" width="11.453125" style="431"/>
    <col min="3339" max="3339" width="16.54296875" style="431" bestFit="1" customWidth="1"/>
    <col min="3340" max="3582" width="11.453125" style="431"/>
    <col min="3583" max="3583" width="5.453125" style="431" customWidth="1"/>
    <col min="3584" max="3584" width="20.7265625" style="431" customWidth="1"/>
    <col min="3585" max="3585" width="19.7265625" style="431" customWidth="1"/>
    <col min="3586" max="3586" width="15.26953125" style="431" customWidth="1"/>
    <col min="3587" max="3587" width="15.1796875" style="431" customWidth="1"/>
    <col min="3588" max="3588" width="28.1796875" style="431" bestFit="1" customWidth="1"/>
    <col min="3589" max="3590" width="14.26953125" style="431" customWidth="1"/>
    <col min="3591" max="3591" width="14.453125" style="431" bestFit="1" customWidth="1"/>
    <col min="3592" max="3592" width="16.54296875" style="431" customWidth="1"/>
    <col min="3593" max="3593" width="3.7265625" style="431" bestFit="1" customWidth="1"/>
    <col min="3594" max="3594" width="11.453125" style="431"/>
    <col min="3595" max="3595" width="16.54296875" style="431" bestFit="1" customWidth="1"/>
    <col min="3596" max="3838" width="11.453125" style="431"/>
    <col min="3839" max="3839" width="5.453125" style="431" customWidth="1"/>
    <col min="3840" max="3840" width="20.7265625" style="431" customWidth="1"/>
    <col min="3841" max="3841" width="19.7265625" style="431" customWidth="1"/>
    <col min="3842" max="3842" width="15.26953125" style="431" customWidth="1"/>
    <col min="3843" max="3843" width="15.1796875" style="431" customWidth="1"/>
    <col min="3844" max="3844" width="28.1796875" style="431" bestFit="1" customWidth="1"/>
    <col min="3845" max="3846" width="14.26953125" style="431" customWidth="1"/>
    <col min="3847" max="3847" width="14.453125" style="431" bestFit="1" customWidth="1"/>
    <col min="3848" max="3848" width="16.54296875" style="431" customWidth="1"/>
    <col min="3849" max="3849" width="3.7265625" style="431" bestFit="1" customWidth="1"/>
    <col min="3850" max="3850" width="11.453125" style="431"/>
    <col min="3851" max="3851" width="16.54296875" style="431" bestFit="1" customWidth="1"/>
    <col min="3852" max="4094" width="11.453125" style="431"/>
    <col min="4095" max="4095" width="5.453125" style="431" customWidth="1"/>
    <col min="4096" max="4096" width="20.7265625" style="431" customWidth="1"/>
    <col min="4097" max="4097" width="19.7265625" style="431" customWidth="1"/>
    <col min="4098" max="4098" width="15.26953125" style="431" customWidth="1"/>
    <col min="4099" max="4099" width="15.1796875" style="431" customWidth="1"/>
    <col min="4100" max="4100" width="28.1796875" style="431" bestFit="1" customWidth="1"/>
    <col min="4101" max="4102" width="14.26953125" style="431" customWidth="1"/>
    <col min="4103" max="4103" width="14.453125" style="431" bestFit="1" customWidth="1"/>
    <col min="4104" max="4104" width="16.54296875" style="431" customWidth="1"/>
    <col min="4105" max="4105" width="3.7265625" style="431" bestFit="1" customWidth="1"/>
    <col min="4106" max="4106" width="11.453125" style="431"/>
    <col min="4107" max="4107" width="16.54296875" style="431" bestFit="1" customWidth="1"/>
    <col min="4108" max="4350" width="11.453125" style="431"/>
    <col min="4351" max="4351" width="5.453125" style="431" customWidth="1"/>
    <col min="4352" max="4352" width="20.7265625" style="431" customWidth="1"/>
    <col min="4353" max="4353" width="19.7265625" style="431" customWidth="1"/>
    <col min="4354" max="4354" width="15.26953125" style="431" customWidth="1"/>
    <col min="4355" max="4355" width="15.1796875" style="431" customWidth="1"/>
    <col min="4356" max="4356" width="28.1796875" style="431" bestFit="1" customWidth="1"/>
    <col min="4357" max="4358" width="14.26953125" style="431" customWidth="1"/>
    <col min="4359" max="4359" width="14.453125" style="431" bestFit="1" customWidth="1"/>
    <col min="4360" max="4360" width="16.54296875" style="431" customWidth="1"/>
    <col min="4361" max="4361" width="3.7265625" style="431" bestFit="1" customWidth="1"/>
    <col min="4362" max="4362" width="11.453125" style="431"/>
    <col min="4363" max="4363" width="16.54296875" style="431" bestFit="1" customWidth="1"/>
    <col min="4364" max="4606" width="11.453125" style="431"/>
    <col min="4607" max="4607" width="5.453125" style="431" customWidth="1"/>
    <col min="4608" max="4608" width="20.7265625" style="431" customWidth="1"/>
    <col min="4609" max="4609" width="19.7265625" style="431" customWidth="1"/>
    <col min="4610" max="4610" width="15.26953125" style="431" customWidth="1"/>
    <col min="4611" max="4611" width="15.1796875" style="431" customWidth="1"/>
    <col min="4612" max="4612" width="28.1796875" style="431" bestFit="1" customWidth="1"/>
    <col min="4613" max="4614" width="14.26953125" style="431" customWidth="1"/>
    <col min="4615" max="4615" width="14.453125" style="431" bestFit="1" customWidth="1"/>
    <col min="4616" max="4616" width="16.54296875" style="431" customWidth="1"/>
    <col min="4617" max="4617" width="3.7265625" style="431" bestFit="1" customWidth="1"/>
    <col min="4618" max="4618" width="11.453125" style="431"/>
    <col min="4619" max="4619" width="16.54296875" style="431" bestFit="1" customWidth="1"/>
    <col min="4620" max="4862" width="11.453125" style="431"/>
    <col min="4863" max="4863" width="5.453125" style="431" customWidth="1"/>
    <col min="4864" max="4864" width="20.7265625" style="431" customWidth="1"/>
    <col min="4865" max="4865" width="19.7265625" style="431" customWidth="1"/>
    <col min="4866" max="4866" width="15.26953125" style="431" customWidth="1"/>
    <col min="4867" max="4867" width="15.1796875" style="431" customWidth="1"/>
    <col min="4868" max="4868" width="28.1796875" style="431" bestFit="1" customWidth="1"/>
    <col min="4869" max="4870" width="14.26953125" style="431" customWidth="1"/>
    <col min="4871" max="4871" width="14.453125" style="431" bestFit="1" customWidth="1"/>
    <col min="4872" max="4872" width="16.54296875" style="431" customWidth="1"/>
    <col min="4873" max="4873" width="3.7265625" style="431" bestFit="1" customWidth="1"/>
    <col min="4874" max="4874" width="11.453125" style="431"/>
    <col min="4875" max="4875" width="16.54296875" style="431" bestFit="1" customWidth="1"/>
    <col min="4876" max="5118" width="11.453125" style="431"/>
    <col min="5119" max="5119" width="5.453125" style="431" customWidth="1"/>
    <col min="5120" max="5120" width="20.7265625" style="431" customWidth="1"/>
    <col min="5121" max="5121" width="19.7265625" style="431" customWidth="1"/>
    <col min="5122" max="5122" width="15.26953125" style="431" customWidth="1"/>
    <col min="5123" max="5123" width="15.1796875" style="431" customWidth="1"/>
    <col min="5124" max="5124" width="28.1796875" style="431" bestFit="1" customWidth="1"/>
    <col min="5125" max="5126" width="14.26953125" style="431" customWidth="1"/>
    <col min="5127" max="5127" width="14.453125" style="431" bestFit="1" customWidth="1"/>
    <col min="5128" max="5128" width="16.54296875" style="431" customWidth="1"/>
    <col min="5129" max="5129" width="3.7265625" style="431" bestFit="1" customWidth="1"/>
    <col min="5130" max="5130" width="11.453125" style="431"/>
    <col min="5131" max="5131" width="16.54296875" style="431" bestFit="1" customWidth="1"/>
    <col min="5132" max="5374" width="11.453125" style="431"/>
    <col min="5375" max="5375" width="5.453125" style="431" customWidth="1"/>
    <col min="5376" max="5376" width="20.7265625" style="431" customWidth="1"/>
    <col min="5377" max="5377" width="19.7265625" style="431" customWidth="1"/>
    <col min="5378" max="5378" width="15.26953125" style="431" customWidth="1"/>
    <col min="5379" max="5379" width="15.1796875" style="431" customWidth="1"/>
    <col min="5380" max="5380" width="28.1796875" style="431" bestFit="1" customWidth="1"/>
    <col min="5381" max="5382" width="14.26953125" style="431" customWidth="1"/>
    <col min="5383" max="5383" width="14.453125" style="431" bestFit="1" customWidth="1"/>
    <col min="5384" max="5384" width="16.54296875" style="431" customWidth="1"/>
    <col min="5385" max="5385" width="3.7265625" style="431" bestFit="1" customWidth="1"/>
    <col min="5386" max="5386" width="11.453125" style="431"/>
    <col min="5387" max="5387" width="16.54296875" style="431" bestFit="1" customWidth="1"/>
    <col min="5388" max="5630" width="11.453125" style="431"/>
    <col min="5631" max="5631" width="5.453125" style="431" customWidth="1"/>
    <col min="5632" max="5632" width="20.7265625" style="431" customWidth="1"/>
    <col min="5633" max="5633" width="19.7265625" style="431" customWidth="1"/>
    <col min="5634" max="5634" width="15.26953125" style="431" customWidth="1"/>
    <col min="5635" max="5635" width="15.1796875" style="431" customWidth="1"/>
    <col min="5636" max="5636" width="28.1796875" style="431" bestFit="1" customWidth="1"/>
    <col min="5637" max="5638" width="14.26953125" style="431" customWidth="1"/>
    <col min="5639" max="5639" width="14.453125" style="431" bestFit="1" customWidth="1"/>
    <col min="5640" max="5640" width="16.54296875" style="431" customWidth="1"/>
    <col min="5641" max="5641" width="3.7265625" style="431" bestFit="1" customWidth="1"/>
    <col min="5642" max="5642" width="11.453125" style="431"/>
    <col min="5643" max="5643" width="16.54296875" style="431" bestFit="1" customWidth="1"/>
    <col min="5644" max="5886" width="11.453125" style="431"/>
    <col min="5887" max="5887" width="5.453125" style="431" customWidth="1"/>
    <col min="5888" max="5888" width="20.7265625" style="431" customWidth="1"/>
    <col min="5889" max="5889" width="19.7265625" style="431" customWidth="1"/>
    <col min="5890" max="5890" width="15.26953125" style="431" customWidth="1"/>
    <col min="5891" max="5891" width="15.1796875" style="431" customWidth="1"/>
    <col min="5892" max="5892" width="28.1796875" style="431" bestFit="1" customWidth="1"/>
    <col min="5893" max="5894" width="14.26953125" style="431" customWidth="1"/>
    <col min="5895" max="5895" width="14.453125" style="431" bestFit="1" customWidth="1"/>
    <col min="5896" max="5896" width="16.54296875" style="431" customWidth="1"/>
    <col min="5897" max="5897" width="3.7265625" style="431" bestFit="1" customWidth="1"/>
    <col min="5898" max="5898" width="11.453125" style="431"/>
    <col min="5899" max="5899" width="16.54296875" style="431" bestFit="1" customWidth="1"/>
    <col min="5900" max="6142" width="11.453125" style="431"/>
    <col min="6143" max="6143" width="5.453125" style="431" customWidth="1"/>
    <col min="6144" max="6144" width="20.7265625" style="431" customWidth="1"/>
    <col min="6145" max="6145" width="19.7265625" style="431" customWidth="1"/>
    <col min="6146" max="6146" width="15.26953125" style="431" customWidth="1"/>
    <col min="6147" max="6147" width="15.1796875" style="431" customWidth="1"/>
    <col min="6148" max="6148" width="28.1796875" style="431" bestFit="1" customWidth="1"/>
    <col min="6149" max="6150" width="14.26953125" style="431" customWidth="1"/>
    <col min="6151" max="6151" width="14.453125" style="431" bestFit="1" customWidth="1"/>
    <col min="6152" max="6152" width="16.54296875" style="431" customWidth="1"/>
    <col min="6153" max="6153" width="3.7265625" style="431" bestFit="1" customWidth="1"/>
    <col min="6154" max="6154" width="11.453125" style="431"/>
    <col min="6155" max="6155" width="16.54296875" style="431" bestFit="1" customWidth="1"/>
    <col min="6156" max="6398" width="11.453125" style="431"/>
    <col min="6399" max="6399" width="5.453125" style="431" customWidth="1"/>
    <col min="6400" max="6400" width="20.7265625" style="431" customWidth="1"/>
    <col min="6401" max="6401" width="19.7265625" style="431" customWidth="1"/>
    <col min="6402" max="6402" width="15.26953125" style="431" customWidth="1"/>
    <col min="6403" max="6403" width="15.1796875" style="431" customWidth="1"/>
    <col min="6404" max="6404" width="28.1796875" style="431" bestFit="1" customWidth="1"/>
    <col min="6405" max="6406" width="14.26953125" style="431" customWidth="1"/>
    <col min="6407" max="6407" width="14.453125" style="431" bestFit="1" customWidth="1"/>
    <col min="6408" max="6408" width="16.54296875" style="431" customWidth="1"/>
    <col min="6409" max="6409" width="3.7265625" style="431" bestFit="1" customWidth="1"/>
    <col min="6410" max="6410" width="11.453125" style="431"/>
    <col min="6411" max="6411" width="16.54296875" style="431" bestFit="1" customWidth="1"/>
    <col min="6412" max="6654" width="11.453125" style="431"/>
    <col min="6655" max="6655" width="5.453125" style="431" customWidth="1"/>
    <col min="6656" max="6656" width="20.7265625" style="431" customWidth="1"/>
    <col min="6657" max="6657" width="19.7265625" style="431" customWidth="1"/>
    <col min="6658" max="6658" width="15.26953125" style="431" customWidth="1"/>
    <col min="6659" max="6659" width="15.1796875" style="431" customWidth="1"/>
    <col min="6660" max="6660" width="28.1796875" style="431" bestFit="1" customWidth="1"/>
    <col min="6661" max="6662" width="14.26953125" style="431" customWidth="1"/>
    <col min="6663" max="6663" width="14.453125" style="431" bestFit="1" customWidth="1"/>
    <col min="6664" max="6664" width="16.54296875" style="431" customWidth="1"/>
    <col min="6665" max="6665" width="3.7265625" style="431" bestFit="1" customWidth="1"/>
    <col min="6666" max="6666" width="11.453125" style="431"/>
    <col min="6667" max="6667" width="16.54296875" style="431" bestFit="1" customWidth="1"/>
    <col min="6668" max="6910" width="11.453125" style="431"/>
    <col min="6911" max="6911" width="5.453125" style="431" customWidth="1"/>
    <col min="6912" max="6912" width="20.7265625" style="431" customWidth="1"/>
    <col min="6913" max="6913" width="19.7265625" style="431" customWidth="1"/>
    <col min="6914" max="6914" width="15.26953125" style="431" customWidth="1"/>
    <col min="6915" max="6915" width="15.1796875" style="431" customWidth="1"/>
    <col min="6916" max="6916" width="28.1796875" style="431" bestFit="1" customWidth="1"/>
    <col min="6917" max="6918" width="14.26953125" style="431" customWidth="1"/>
    <col min="6919" max="6919" width="14.453125" style="431" bestFit="1" customWidth="1"/>
    <col min="6920" max="6920" width="16.54296875" style="431" customWidth="1"/>
    <col min="6921" max="6921" width="3.7265625" style="431" bestFit="1" customWidth="1"/>
    <col min="6922" max="6922" width="11.453125" style="431"/>
    <col min="6923" max="6923" width="16.54296875" style="431" bestFit="1" customWidth="1"/>
    <col min="6924" max="7166" width="11.453125" style="431"/>
    <col min="7167" max="7167" width="5.453125" style="431" customWidth="1"/>
    <col min="7168" max="7168" width="20.7265625" style="431" customWidth="1"/>
    <col min="7169" max="7169" width="19.7265625" style="431" customWidth="1"/>
    <col min="7170" max="7170" width="15.26953125" style="431" customWidth="1"/>
    <col min="7171" max="7171" width="15.1796875" style="431" customWidth="1"/>
    <col min="7172" max="7172" width="28.1796875" style="431" bestFit="1" customWidth="1"/>
    <col min="7173" max="7174" width="14.26953125" style="431" customWidth="1"/>
    <col min="7175" max="7175" width="14.453125" style="431" bestFit="1" customWidth="1"/>
    <col min="7176" max="7176" width="16.54296875" style="431" customWidth="1"/>
    <col min="7177" max="7177" width="3.7265625" style="431" bestFit="1" customWidth="1"/>
    <col min="7178" max="7178" width="11.453125" style="431"/>
    <col min="7179" max="7179" width="16.54296875" style="431" bestFit="1" customWidth="1"/>
    <col min="7180" max="7422" width="11.453125" style="431"/>
    <col min="7423" max="7423" width="5.453125" style="431" customWidth="1"/>
    <col min="7424" max="7424" width="20.7265625" style="431" customWidth="1"/>
    <col min="7425" max="7425" width="19.7265625" style="431" customWidth="1"/>
    <col min="7426" max="7426" width="15.26953125" style="431" customWidth="1"/>
    <col min="7427" max="7427" width="15.1796875" style="431" customWidth="1"/>
    <col min="7428" max="7428" width="28.1796875" style="431" bestFit="1" customWidth="1"/>
    <col min="7429" max="7430" width="14.26953125" style="431" customWidth="1"/>
    <col min="7431" max="7431" width="14.453125" style="431" bestFit="1" customWidth="1"/>
    <col min="7432" max="7432" width="16.54296875" style="431" customWidth="1"/>
    <col min="7433" max="7433" width="3.7265625" style="431" bestFit="1" customWidth="1"/>
    <col min="7434" max="7434" width="11.453125" style="431"/>
    <col min="7435" max="7435" width="16.54296875" style="431" bestFit="1" customWidth="1"/>
    <col min="7436" max="7678" width="11.453125" style="431"/>
    <col min="7679" max="7679" width="5.453125" style="431" customWidth="1"/>
    <col min="7680" max="7680" width="20.7265625" style="431" customWidth="1"/>
    <col min="7681" max="7681" width="19.7265625" style="431" customWidth="1"/>
    <col min="7682" max="7682" width="15.26953125" style="431" customWidth="1"/>
    <col min="7683" max="7683" width="15.1796875" style="431" customWidth="1"/>
    <col min="7684" max="7684" width="28.1796875" style="431" bestFit="1" customWidth="1"/>
    <col min="7685" max="7686" width="14.26953125" style="431" customWidth="1"/>
    <col min="7687" max="7687" width="14.453125" style="431" bestFit="1" customWidth="1"/>
    <col min="7688" max="7688" width="16.54296875" style="431" customWidth="1"/>
    <col min="7689" max="7689" width="3.7265625" style="431" bestFit="1" customWidth="1"/>
    <col min="7690" max="7690" width="11.453125" style="431"/>
    <col min="7691" max="7691" width="16.54296875" style="431" bestFit="1" customWidth="1"/>
    <col min="7692" max="7934" width="11.453125" style="431"/>
    <col min="7935" max="7935" width="5.453125" style="431" customWidth="1"/>
    <col min="7936" max="7936" width="20.7265625" style="431" customWidth="1"/>
    <col min="7937" max="7937" width="19.7265625" style="431" customWidth="1"/>
    <col min="7938" max="7938" width="15.26953125" style="431" customWidth="1"/>
    <col min="7939" max="7939" width="15.1796875" style="431" customWidth="1"/>
    <col min="7940" max="7940" width="28.1796875" style="431" bestFit="1" customWidth="1"/>
    <col min="7941" max="7942" width="14.26953125" style="431" customWidth="1"/>
    <col min="7943" max="7943" width="14.453125" style="431" bestFit="1" customWidth="1"/>
    <col min="7944" max="7944" width="16.54296875" style="431" customWidth="1"/>
    <col min="7945" max="7945" width="3.7265625" style="431" bestFit="1" customWidth="1"/>
    <col min="7946" max="7946" width="11.453125" style="431"/>
    <col min="7947" max="7947" width="16.54296875" style="431" bestFit="1" customWidth="1"/>
    <col min="7948" max="8190" width="11.453125" style="431"/>
    <col min="8191" max="8191" width="5.453125" style="431" customWidth="1"/>
    <col min="8192" max="8192" width="20.7265625" style="431" customWidth="1"/>
    <col min="8193" max="8193" width="19.7265625" style="431" customWidth="1"/>
    <col min="8194" max="8194" width="15.26953125" style="431" customWidth="1"/>
    <col min="8195" max="8195" width="15.1796875" style="431" customWidth="1"/>
    <col min="8196" max="8196" width="28.1796875" style="431" bestFit="1" customWidth="1"/>
    <col min="8197" max="8198" width="14.26953125" style="431" customWidth="1"/>
    <col min="8199" max="8199" width="14.453125" style="431" bestFit="1" customWidth="1"/>
    <col min="8200" max="8200" width="16.54296875" style="431" customWidth="1"/>
    <col min="8201" max="8201" width="3.7265625" style="431" bestFit="1" customWidth="1"/>
    <col min="8202" max="8202" width="11.453125" style="431"/>
    <col min="8203" max="8203" width="16.54296875" style="431" bestFit="1" customWidth="1"/>
    <col min="8204" max="8446" width="11.453125" style="431"/>
    <col min="8447" max="8447" width="5.453125" style="431" customWidth="1"/>
    <col min="8448" max="8448" width="20.7265625" style="431" customWidth="1"/>
    <col min="8449" max="8449" width="19.7265625" style="431" customWidth="1"/>
    <col min="8450" max="8450" width="15.26953125" style="431" customWidth="1"/>
    <col min="8451" max="8451" width="15.1796875" style="431" customWidth="1"/>
    <col min="8452" max="8452" width="28.1796875" style="431" bestFit="1" customWidth="1"/>
    <col min="8453" max="8454" width="14.26953125" style="431" customWidth="1"/>
    <col min="8455" max="8455" width="14.453125" style="431" bestFit="1" customWidth="1"/>
    <col min="8456" max="8456" width="16.54296875" style="431" customWidth="1"/>
    <col min="8457" max="8457" width="3.7265625" style="431" bestFit="1" customWidth="1"/>
    <col min="8458" max="8458" width="11.453125" style="431"/>
    <col min="8459" max="8459" width="16.54296875" style="431" bestFit="1" customWidth="1"/>
    <col min="8460" max="8702" width="11.453125" style="431"/>
    <col min="8703" max="8703" width="5.453125" style="431" customWidth="1"/>
    <col min="8704" max="8704" width="20.7265625" style="431" customWidth="1"/>
    <col min="8705" max="8705" width="19.7265625" style="431" customWidth="1"/>
    <col min="8706" max="8706" width="15.26953125" style="431" customWidth="1"/>
    <col min="8707" max="8707" width="15.1796875" style="431" customWidth="1"/>
    <col min="8708" max="8708" width="28.1796875" style="431" bestFit="1" customWidth="1"/>
    <col min="8709" max="8710" width="14.26953125" style="431" customWidth="1"/>
    <col min="8711" max="8711" width="14.453125" style="431" bestFit="1" customWidth="1"/>
    <col min="8712" max="8712" width="16.54296875" style="431" customWidth="1"/>
    <col min="8713" max="8713" width="3.7265625" style="431" bestFit="1" customWidth="1"/>
    <col min="8714" max="8714" width="11.453125" style="431"/>
    <col min="8715" max="8715" width="16.54296875" style="431" bestFit="1" customWidth="1"/>
    <col min="8716" max="8958" width="11.453125" style="431"/>
    <col min="8959" max="8959" width="5.453125" style="431" customWidth="1"/>
    <col min="8960" max="8960" width="20.7265625" style="431" customWidth="1"/>
    <col min="8961" max="8961" width="19.7265625" style="431" customWidth="1"/>
    <col min="8962" max="8962" width="15.26953125" style="431" customWidth="1"/>
    <col min="8963" max="8963" width="15.1796875" style="431" customWidth="1"/>
    <col min="8964" max="8964" width="28.1796875" style="431" bestFit="1" customWidth="1"/>
    <col min="8965" max="8966" width="14.26953125" style="431" customWidth="1"/>
    <col min="8967" max="8967" width="14.453125" style="431" bestFit="1" customWidth="1"/>
    <col min="8968" max="8968" width="16.54296875" style="431" customWidth="1"/>
    <col min="8969" max="8969" width="3.7265625" style="431" bestFit="1" customWidth="1"/>
    <col min="8970" max="8970" width="11.453125" style="431"/>
    <col min="8971" max="8971" width="16.54296875" style="431" bestFit="1" customWidth="1"/>
    <col min="8972" max="9214" width="11.453125" style="431"/>
    <col min="9215" max="9215" width="5.453125" style="431" customWidth="1"/>
    <col min="9216" max="9216" width="20.7265625" style="431" customWidth="1"/>
    <col min="9217" max="9217" width="19.7265625" style="431" customWidth="1"/>
    <col min="9218" max="9218" width="15.26953125" style="431" customWidth="1"/>
    <col min="9219" max="9219" width="15.1796875" style="431" customWidth="1"/>
    <col min="9220" max="9220" width="28.1796875" style="431" bestFit="1" customWidth="1"/>
    <col min="9221" max="9222" width="14.26953125" style="431" customWidth="1"/>
    <col min="9223" max="9223" width="14.453125" style="431" bestFit="1" customWidth="1"/>
    <col min="9224" max="9224" width="16.54296875" style="431" customWidth="1"/>
    <col min="9225" max="9225" width="3.7265625" style="431" bestFit="1" customWidth="1"/>
    <col min="9226" max="9226" width="11.453125" style="431"/>
    <col min="9227" max="9227" width="16.54296875" style="431" bestFit="1" customWidth="1"/>
    <col min="9228" max="9470" width="11.453125" style="431"/>
    <col min="9471" max="9471" width="5.453125" style="431" customWidth="1"/>
    <col min="9472" max="9472" width="20.7265625" style="431" customWidth="1"/>
    <col min="9473" max="9473" width="19.7265625" style="431" customWidth="1"/>
    <col min="9474" max="9474" width="15.26953125" style="431" customWidth="1"/>
    <col min="9475" max="9475" width="15.1796875" style="431" customWidth="1"/>
    <col min="9476" max="9476" width="28.1796875" style="431" bestFit="1" customWidth="1"/>
    <col min="9477" max="9478" width="14.26953125" style="431" customWidth="1"/>
    <col min="9479" max="9479" width="14.453125" style="431" bestFit="1" customWidth="1"/>
    <col min="9480" max="9480" width="16.54296875" style="431" customWidth="1"/>
    <col min="9481" max="9481" width="3.7265625" style="431" bestFit="1" customWidth="1"/>
    <col min="9482" max="9482" width="11.453125" style="431"/>
    <col min="9483" max="9483" width="16.54296875" style="431" bestFit="1" customWidth="1"/>
    <col min="9484" max="9726" width="11.453125" style="431"/>
    <col min="9727" max="9727" width="5.453125" style="431" customWidth="1"/>
    <col min="9728" max="9728" width="20.7265625" style="431" customWidth="1"/>
    <col min="9729" max="9729" width="19.7265625" style="431" customWidth="1"/>
    <col min="9730" max="9730" width="15.26953125" style="431" customWidth="1"/>
    <col min="9731" max="9731" width="15.1796875" style="431" customWidth="1"/>
    <col min="9732" max="9732" width="28.1796875" style="431" bestFit="1" customWidth="1"/>
    <col min="9733" max="9734" width="14.26953125" style="431" customWidth="1"/>
    <col min="9735" max="9735" width="14.453125" style="431" bestFit="1" customWidth="1"/>
    <col min="9736" max="9736" width="16.54296875" style="431" customWidth="1"/>
    <col min="9737" max="9737" width="3.7265625" style="431" bestFit="1" customWidth="1"/>
    <col min="9738" max="9738" width="11.453125" style="431"/>
    <col min="9739" max="9739" width="16.54296875" style="431" bestFit="1" customWidth="1"/>
    <col min="9740" max="9982" width="11.453125" style="431"/>
    <col min="9983" max="9983" width="5.453125" style="431" customWidth="1"/>
    <col min="9984" max="9984" width="20.7265625" style="431" customWidth="1"/>
    <col min="9985" max="9985" width="19.7265625" style="431" customWidth="1"/>
    <col min="9986" max="9986" width="15.26953125" style="431" customWidth="1"/>
    <col min="9987" max="9987" width="15.1796875" style="431" customWidth="1"/>
    <col min="9988" max="9988" width="28.1796875" style="431" bestFit="1" customWidth="1"/>
    <col min="9989" max="9990" width="14.26953125" style="431" customWidth="1"/>
    <col min="9991" max="9991" width="14.453125" style="431" bestFit="1" customWidth="1"/>
    <col min="9992" max="9992" width="16.54296875" style="431" customWidth="1"/>
    <col min="9993" max="9993" width="3.7265625" style="431" bestFit="1" customWidth="1"/>
    <col min="9994" max="9994" width="11.453125" style="431"/>
    <col min="9995" max="9995" width="16.54296875" style="431" bestFit="1" customWidth="1"/>
    <col min="9996" max="10238" width="11.453125" style="431"/>
    <col min="10239" max="10239" width="5.453125" style="431" customWidth="1"/>
    <col min="10240" max="10240" width="20.7265625" style="431" customWidth="1"/>
    <col min="10241" max="10241" width="19.7265625" style="431" customWidth="1"/>
    <col min="10242" max="10242" width="15.26953125" style="431" customWidth="1"/>
    <col min="10243" max="10243" width="15.1796875" style="431" customWidth="1"/>
    <col min="10244" max="10244" width="28.1796875" style="431" bestFit="1" customWidth="1"/>
    <col min="10245" max="10246" width="14.26953125" style="431" customWidth="1"/>
    <col min="10247" max="10247" width="14.453125" style="431" bestFit="1" customWidth="1"/>
    <col min="10248" max="10248" width="16.54296875" style="431" customWidth="1"/>
    <col min="10249" max="10249" width="3.7265625" style="431" bestFit="1" customWidth="1"/>
    <col min="10250" max="10250" width="11.453125" style="431"/>
    <col min="10251" max="10251" width="16.54296875" style="431" bestFit="1" customWidth="1"/>
    <col min="10252" max="10494" width="11.453125" style="431"/>
    <col min="10495" max="10495" width="5.453125" style="431" customWidth="1"/>
    <col min="10496" max="10496" width="20.7265625" style="431" customWidth="1"/>
    <col min="10497" max="10497" width="19.7265625" style="431" customWidth="1"/>
    <col min="10498" max="10498" width="15.26953125" style="431" customWidth="1"/>
    <col min="10499" max="10499" width="15.1796875" style="431" customWidth="1"/>
    <col min="10500" max="10500" width="28.1796875" style="431" bestFit="1" customWidth="1"/>
    <col min="10501" max="10502" width="14.26953125" style="431" customWidth="1"/>
    <col min="10503" max="10503" width="14.453125" style="431" bestFit="1" customWidth="1"/>
    <col min="10504" max="10504" width="16.54296875" style="431" customWidth="1"/>
    <col min="10505" max="10505" width="3.7265625" style="431" bestFit="1" customWidth="1"/>
    <col min="10506" max="10506" width="11.453125" style="431"/>
    <col min="10507" max="10507" width="16.54296875" style="431" bestFit="1" customWidth="1"/>
    <col min="10508" max="10750" width="11.453125" style="431"/>
    <col min="10751" max="10751" width="5.453125" style="431" customWidth="1"/>
    <col min="10752" max="10752" width="20.7265625" style="431" customWidth="1"/>
    <col min="10753" max="10753" width="19.7265625" style="431" customWidth="1"/>
    <col min="10754" max="10754" width="15.26953125" style="431" customWidth="1"/>
    <col min="10755" max="10755" width="15.1796875" style="431" customWidth="1"/>
    <col min="10756" max="10756" width="28.1796875" style="431" bestFit="1" customWidth="1"/>
    <col min="10757" max="10758" width="14.26953125" style="431" customWidth="1"/>
    <col min="10759" max="10759" width="14.453125" style="431" bestFit="1" customWidth="1"/>
    <col min="10760" max="10760" width="16.54296875" style="431" customWidth="1"/>
    <col min="10761" max="10761" width="3.7265625" style="431" bestFit="1" customWidth="1"/>
    <col min="10762" max="10762" width="11.453125" style="431"/>
    <col min="10763" max="10763" width="16.54296875" style="431" bestFit="1" customWidth="1"/>
    <col min="10764" max="11006" width="11.453125" style="431"/>
    <col min="11007" max="11007" width="5.453125" style="431" customWidth="1"/>
    <col min="11008" max="11008" width="20.7265625" style="431" customWidth="1"/>
    <col min="11009" max="11009" width="19.7265625" style="431" customWidth="1"/>
    <col min="11010" max="11010" width="15.26953125" style="431" customWidth="1"/>
    <col min="11011" max="11011" width="15.1796875" style="431" customWidth="1"/>
    <col min="11012" max="11012" width="28.1796875" style="431" bestFit="1" customWidth="1"/>
    <col min="11013" max="11014" width="14.26953125" style="431" customWidth="1"/>
    <col min="11015" max="11015" width="14.453125" style="431" bestFit="1" customWidth="1"/>
    <col min="11016" max="11016" width="16.54296875" style="431" customWidth="1"/>
    <col min="11017" max="11017" width="3.7265625" style="431" bestFit="1" customWidth="1"/>
    <col min="11018" max="11018" width="11.453125" style="431"/>
    <col min="11019" max="11019" width="16.54296875" style="431" bestFit="1" customWidth="1"/>
    <col min="11020" max="11262" width="11.453125" style="431"/>
    <col min="11263" max="11263" width="5.453125" style="431" customWidth="1"/>
    <col min="11264" max="11264" width="20.7265625" style="431" customWidth="1"/>
    <col min="11265" max="11265" width="19.7265625" style="431" customWidth="1"/>
    <col min="11266" max="11266" width="15.26953125" style="431" customWidth="1"/>
    <col min="11267" max="11267" width="15.1796875" style="431" customWidth="1"/>
    <col min="11268" max="11268" width="28.1796875" style="431" bestFit="1" customWidth="1"/>
    <col min="11269" max="11270" width="14.26953125" style="431" customWidth="1"/>
    <col min="11271" max="11271" width="14.453125" style="431" bestFit="1" customWidth="1"/>
    <col min="11272" max="11272" width="16.54296875" style="431" customWidth="1"/>
    <col min="11273" max="11273" width="3.7265625" style="431" bestFit="1" customWidth="1"/>
    <col min="11274" max="11274" width="11.453125" style="431"/>
    <col min="11275" max="11275" width="16.54296875" style="431" bestFit="1" customWidth="1"/>
    <col min="11276" max="11518" width="11.453125" style="431"/>
    <col min="11519" max="11519" width="5.453125" style="431" customWidth="1"/>
    <col min="11520" max="11520" width="20.7265625" style="431" customWidth="1"/>
    <col min="11521" max="11521" width="19.7265625" style="431" customWidth="1"/>
    <col min="11522" max="11522" width="15.26953125" style="431" customWidth="1"/>
    <col min="11523" max="11523" width="15.1796875" style="431" customWidth="1"/>
    <col min="11524" max="11524" width="28.1796875" style="431" bestFit="1" customWidth="1"/>
    <col min="11525" max="11526" width="14.26953125" style="431" customWidth="1"/>
    <col min="11527" max="11527" width="14.453125" style="431" bestFit="1" customWidth="1"/>
    <col min="11528" max="11528" width="16.54296875" style="431" customWidth="1"/>
    <col min="11529" max="11529" width="3.7265625" style="431" bestFit="1" customWidth="1"/>
    <col min="11530" max="11530" width="11.453125" style="431"/>
    <col min="11531" max="11531" width="16.54296875" style="431" bestFit="1" customWidth="1"/>
    <col min="11532" max="11774" width="11.453125" style="431"/>
    <col min="11775" max="11775" width="5.453125" style="431" customWidth="1"/>
    <col min="11776" max="11776" width="20.7265625" style="431" customWidth="1"/>
    <col min="11777" max="11777" width="19.7265625" style="431" customWidth="1"/>
    <col min="11778" max="11778" width="15.26953125" style="431" customWidth="1"/>
    <col min="11779" max="11779" width="15.1796875" style="431" customWidth="1"/>
    <col min="11780" max="11780" width="28.1796875" style="431" bestFit="1" customWidth="1"/>
    <col min="11781" max="11782" width="14.26953125" style="431" customWidth="1"/>
    <col min="11783" max="11783" width="14.453125" style="431" bestFit="1" customWidth="1"/>
    <col min="11784" max="11784" width="16.54296875" style="431" customWidth="1"/>
    <col min="11785" max="11785" width="3.7265625" style="431" bestFit="1" customWidth="1"/>
    <col min="11786" max="11786" width="11.453125" style="431"/>
    <col min="11787" max="11787" width="16.54296875" style="431" bestFit="1" customWidth="1"/>
    <col min="11788" max="12030" width="11.453125" style="431"/>
    <col min="12031" max="12031" width="5.453125" style="431" customWidth="1"/>
    <col min="12032" max="12032" width="20.7265625" style="431" customWidth="1"/>
    <col min="12033" max="12033" width="19.7265625" style="431" customWidth="1"/>
    <col min="12034" max="12034" width="15.26953125" style="431" customWidth="1"/>
    <col min="12035" max="12035" width="15.1796875" style="431" customWidth="1"/>
    <col min="12036" max="12036" width="28.1796875" style="431" bestFit="1" customWidth="1"/>
    <col min="12037" max="12038" width="14.26953125" style="431" customWidth="1"/>
    <col min="12039" max="12039" width="14.453125" style="431" bestFit="1" customWidth="1"/>
    <col min="12040" max="12040" width="16.54296875" style="431" customWidth="1"/>
    <col min="12041" max="12041" width="3.7265625" style="431" bestFit="1" customWidth="1"/>
    <col min="12042" max="12042" width="11.453125" style="431"/>
    <col min="12043" max="12043" width="16.54296875" style="431" bestFit="1" customWidth="1"/>
    <col min="12044" max="12286" width="11.453125" style="431"/>
    <col min="12287" max="12287" width="5.453125" style="431" customWidth="1"/>
    <col min="12288" max="12288" width="20.7265625" style="431" customWidth="1"/>
    <col min="12289" max="12289" width="19.7265625" style="431" customWidth="1"/>
    <col min="12290" max="12290" width="15.26953125" style="431" customWidth="1"/>
    <col min="12291" max="12291" width="15.1796875" style="431" customWidth="1"/>
    <col min="12292" max="12292" width="28.1796875" style="431" bestFit="1" customWidth="1"/>
    <col min="12293" max="12294" width="14.26953125" style="431" customWidth="1"/>
    <col min="12295" max="12295" width="14.453125" style="431" bestFit="1" customWidth="1"/>
    <col min="12296" max="12296" width="16.54296875" style="431" customWidth="1"/>
    <col min="12297" max="12297" width="3.7265625" style="431" bestFit="1" customWidth="1"/>
    <col min="12298" max="12298" width="11.453125" style="431"/>
    <col min="12299" max="12299" width="16.54296875" style="431" bestFit="1" customWidth="1"/>
    <col min="12300" max="12542" width="11.453125" style="431"/>
    <col min="12543" max="12543" width="5.453125" style="431" customWidth="1"/>
    <col min="12544" max="12544" width="20.7265625" style="431" customWidth="1"/>
    <col min="12545" max="12545" width="19.7265625" style="431" customWidth="1"/>
    <col min="12546" max="12546" width="15.26953125" style="431" customWidth="1"/>
    <col min="12547" max="12547" width="15.1796875" style="431" customWidth="1"/>
    <col min="12548" max="12548" width="28.1796875" style="431" bestFit="1" customWidth="1"/>
    <col min="12549" max="12550" width="14.26953125" style="431" customWidth="1"/>
    <col min="12551" max="12551" width="14.453125" style="431" bestFit="1" customWidth="1"/>
    <col min="12552" max="12552" width="16.54296875" style="431" customWidth="1"/>
    <col min="12553" max="12553" width="3.7265625" style="431" bestFit="1" customWidth="1"/>
    <col min="12554" max="12554" width="11.453125" style="431"/>
    <col min="12555" max="12555" width="16.54296875" style="431" bestFit="1" customWidth="1"/>
    <col min="12556" max="12798" width="11.453125" style="431"/>
    <col min="12799" max="12799" width="5.453125" style="431" customWidth="1"/>
    <col min="12800" max="12800" width="20.7265625" style="431" customWidth="1"/>
    <col min="12801" max="12801" width="19.7265625" style="431" customWidth="1"/>
    <col min="12802" max="12802" width="15.26953125" style="431" customWidth="1"/>
    <col min="12803" max="12803" width="15.1796875" style="431" customWidth="1"/>
    <col min="12804" max="12804" width="28.1796875" style="431" bestFit="1" customWidth="1"/>
    <col min="12805" max="12806" width="14.26953125" style="431" customWidth="1"/>
    <col min="12807" max="12807" width="14.453125" style="431" bestFit="1" customWidth="1"/>
    <col min="12808" max="12808" width="16.54296875" style="431" customWidth="1"/>
    <col min="12809" max="12809" width="3.7265625" style="431" bestFit="1" customWidth="1"/>
    <col min="12810" max="12810" width="11.453125" style="431"/>
    <col min="12811" max="12811" width="16.54296875" style="431" bestFit="1" customWidth="1"/>
    <col min="12812" max="13054" width="11.453125" style="431"/>
    <col min="13055" max="13055" width="5.453125" style="431" customWidth="1"/>
    <col min="13056" max="13056" width="20.7265625" style="431" customWidth="1"/>
    <col min="13057" max="13057" width="19.7265625" style="431" customWidth="1"/>
    <col min="13058" max="13058" width="15.26953125" style="431" customWidth="1"/>
    <col min="13059" max="13059" width="15.1796875" style="431" customWidth="1"/>
    <col min="13060" max="13060" width="28.1796875" style="431" bestFit="1" customWidth="1"/>
    <col min="13061" max="13062" width="14.26953125" style="431" customWidth="1"/>
    <col min="13063" max="13063" width="14.453125" style="431" bestFit="1" customWidth="1"/>
    <col min="13064" max="13064" width="16.54296875" style="431" customWidth="1"/>
    <col min="13065" max="13065" width="3.7265625" style="431" bestFit="1" customWidth="1"/>
    <col min="13066" max="13066" width="11.453125" style="431"/>
    <col min="13067" max="13067" width="16.54296875" style="431" bestFit="1" customWidth="1"/>
    <col min="13068" max="13310" width="11.453125" style="431"/>
    <col min="13311" max="13311" width="5.453125" style="431" customWidth="1"/>
    <col min="13312" max="13312" width="20.7265625" style="431" customWidth="1"/>
    <col min="13313" max="13313" width="19.7265625" style="431" customWidth="1"/>
    <col min="13314" max="13314" width="15.26953125" style="431" customWidth="1"/>
    <col min="13315" max="13315" width="15.1796875" style="431" customWidth="1"/>
    <col min="13316" max="13316" width="28.1796875" style="431" bestFit="1" customWidth="1"/>
    <col min="13317" max="13318" width="14.26953125" style="431" customWidth="1"/>
    <col min="13319" max="13319" width="14.453125" style="431" bestFit="1" customWidth="1"/>
    <col min="13320" max="13320" width="16.54296875" style="431" customWidth="1"/>
    <col min="13321" max="13321" width="3.7265625" style="431" bestFit="1" customWidth="1"/>
    <col min="13322" max="13322" width="11.453125" style="431"/>
    <col min="13323" max="13323" width="16.54296875" style="431" bestFit="1" customWidth="1"/>
    <col min="13324" max="13566" width="11.453125" style="431"/>
    <col min="13567" max="13567" width="5.453125" style="431" customWidth="1"/>
    <col min="13568" max="13568" width="20.7265625" style="431" customWidth="1"/>
    <col min="13569" max="13569" width="19.7265625" style="431" customWidth="1"/>
    <col min="13570" max="13570" width="15.26953125" style="431" customWidth="1"/>
    <col min="13571" max="13571" width="15.1796875" style="431" customWidth="1"/>
    <col min="13572" max="13572" width="28.1796875" style="431" bestFit="1" customWidth="1"/>
    <col min="13573" max="13574" width="14.26953125" style="431" customWidth="1"/>
    <col min="13575" max="13575" width="14.453125" style="431" bestFit="1" customWidth="1"/>
    <col min="13576" max="13576" width="16.54296875" style="431" customWidth="1"/>
    <col min="13577" max="13577" width="3.7265625" style="431" bestFit="1" customWidth="1"/>
    <col min="13578" max="13578" width="11.453125" style="431"/>
    <col min="13579" max="13579" width="16.54296875" style="431" bestFit="1" customWidth="1"/>
    <col min="13580" max="13822" width="11.453125" style="431"/>
    <col min="13823" max="13823" width="5.453125" style="431" customWidth="1"/>
    <col min="13824" max="13824" width="20.7265625" style="431" customWidth="1"/>
    <col min="13825" max="13825" width="19.7265625" style="431" customWidth="1"/>
    <col min="13826" max="13826" width="15.26953125" style="431" customWidth="1"/>
    <col min="13827" max="13827" width="15.1796875" style="431" customWidth="1"/>
    <col min="13828" max="13828" width="28.1796875" style="431" bestFit="1" customWidth="1"/>
    <col min="13829" max="13830" width="14.26953125" style="431" customWidth="1"/>
    <col min="13831" max="13831" width="14.453125" style="431" bestFit="1" customWidth="1"/>
    <col min="13832" max="13832" width="16.54296875" style="431" customWidth="1"/>
    <col min="13833" max="13833" width="3.7265625" style="431" bestFit="1" customWidth="1"/>
    <col min="13834" max="13834" width="11.453125" style="431"/>
    <col min="13835" max="13835" width="16.54296875" style="431" bestFit="1" customWidth="1"/>
    <col min="13836" max="14078" width="11.453125" style="431"/>
    <col min="14079" max="14079" width="5.453125" style="431" customWidth="1"/>
    <col min="14080" max="14080" width="20.7265625" style="431" customWidth="1"/>
    <col min="14081" max="14081" width="19.7265625" style="431" customWidth="1"/>
    <col min="14082" max="14082" width="15.26953125" style="431" customWidth="1"/>
    <col min="14083" max="14083" width="15.1796875" style="431" customWidth="1"/>
    <col min="14084" max="14084" width="28.1796875" style="431" bestFit="1" customWidth="1"/>
    <col min="14085" max="14086" width="14.26953125" style="431" customWidth="1"/>
    <col min="14087" max="14087" width="14.453125" style="431" bestFit="1" customWidth="1"/>
    <col min="14088" max="14088" width="16.54296875" style="431" customWidth="1"/>
    <col min="14089" max="14089" width="3.7265625" style="431" bestFit="1" customWidth="1"/>
    <col min="14090" max="14090" width="11.453125" style="431"/>
    <col min="14091" max="14091" width="16.54296875" style="431" bestFit="1" customWidth="1"/>
    <col min="14092" max="14334" width="11.453125" style="431"/>
    <col min="14335" max="14335" width="5.453125" style="431" customWidth="1"/>
    <col min="14336" max="14336" width="20.7265625" style="431" customWidth="1"/>
    <col min="14337" max="14337" width="19.7265625" style="431" customWidth="1"/>
    <col min="14338" max="14338" width="15.26953125" style="431" customWidth="1"/>
    <col min="14339" max="14339" width="15.1796875" style="431" customWidth="1"/>
    <col min="14340" max="14340" width="28.1796875" style="431" bestFit="1" customWidth="1"/>
    <col min="14341" max="14342" width="14.26953125" style="431" customWidth="1"/>
    <col min="14343" max="14343" width="14.453125" style="431" bestFit="1" customWidth="1"/>
    <col min="14344" max="14344" width="16.54296875" style="431" customWidth="1"/>
    <col min="14345" max="14345" width="3.7265625" style="431" bestFit="1" customWidth="1"/>
    <col min="14346" max="14346" width="11.453125" style="431"/>
    <col min="14347" max="14347" width="16.54296875" style="431" bestFit="1" customWidth="1"/>
    <col min="14348" max="14590" width="11.453125" style="431"/>
    <col min="14591" max="14591" width="5.453125" style="431" customWidth="1"/>
    <col min="14592" max="14592" width="20.7265625" style="431" customWidth="1"/>
    <col min="14593" max="14593" width="19.7265625" style="431" customWidth="1"/>
    <col min="14594" max="14594" width="15.26953125" style="431" customWidth="1"/>
    <col min="14595" max="14595" width="15.1796875" style="431" customWidth="1"/>
    <col min="14596" max="14596" width="28.1796875" style="431" bestFit="1" customWidth="1"/>
    <col min="14597" max="14598" width="14.26953125" style="431" customWidth="1"/>
    <col min="14599" max="14599" width="14.453125" style="431" bestFit="1" customWidth="1"/>
    <col min="14600" max="14600" width="16.54296875" style="431" customWidth="1"/>
    <col min="14601" max="14601" width="3.7265625" style="431" bestFit="1" customWidth="1"/>
    <col min="14602" max="14602" width="11.453125" style="431"/>
    <col min="14603" max="14603" width="16.54296875" style="431" bestFit="1" customWidth="1"/>
    <col min="14604" max="14846" width="11.453125" style="431"/>
    <col min="14847" max="14847" width="5.453125" style="431" customWidth="1"/>
    <col min="14848" max="14848" width="20.7265625" style="431" customWidth="1"/>
    <col min="14849" max="14849" width="19.7265625" style="431" customWidth="1"/>
    <col min="14850" max="14850" width="15.26953125" style="431" customWidth="1"/>
    <col min="14851" max="14851" width="15.1796875" style="431" customWidth="1"/>
    <col min="14852" max="14852" width="28.1796875" style="431" bestFit="1" customWidth="1"/>
    <col min="14853" max="14854" width="14.26953125" style="431" customWidth="1"/>
    <col min="14855" max="14855" width="14.453125" style="431" bestFit="1" customWidth="1"/>
    <col min="14856" max="14856" width="16.54296875" style="431" customWidth="1"/>
    <col min="14857" max="14857" width="3.7265625" style="431" bestFit="1" customWidth="1"/>
    <col min="14858" max="14858" width="11.453125" style="431"/>
    <col min="14859" max="14859" width="16.54296875" style="431" bestFit="1" customWidth="1"/>
    <col min="14860" max="15102" width="11.453125" style="431"/>
    <col min="15103" max="15103" width="5.453125" style="431" customWidth="1"/>
    <col min="15104" max="15104" width="20.7265625" style="431" customWidth="1"/>
    <col min="15105" max="15105" width="19.7265625" style="431" customWidth="1"/>
    <col min="15106" max="15106" width="15.26953125" style="431" customWidth="1"/>
    <col min="15107" max="15107" width="15.1796875" style="431" customWidth="1"/>
    <col min="15108" max="15108" width="28.1796875" style="431" bestFit="1" customWidth="1"/>
    <col min="15109" max="15110" width="14.26953125" style="431" customWidth="1"/>
    <col min="15111" max="15111" width="14.453125" style="431" bestFit="1" customWidth="1"/>
    <col min="15112" max="15112" width="16.54296875" style="431" customWidth="1"/>
    <col min="15113" max="15113" width="3.7265625" style="431" bestFit="1" customWidth="1"/>
    <col min="15114" max="15114" width="11.453125" style="431"/>
    <col min="15115" max="15115" width="16.54296875" style="431" bestFit="1" customWidth="1"/>
    <col min="15116" max="15358" width="11.453125" style="431"/>
    <col min="15359" max="15359" width="5.453125" style="431" customWidth="1"/>
    <col min="15360" max="15360" width="20.7265625" style="431" customWidth="1"/>
    <col min="15361" max="15361" width="19.7265625" style="431" customWidth="1"/>
    <col min="15362" max="15362" width="15.26953125" style="431" customWidth="1"/>
    <col min="15363" max="15363" width="15.1796875" style="431" customWidth="1"/>
    <col min="15364" max="15364" width="28.1796875" style="431" bestFit="1" customWidth="1"/>
    <col min="15365" max="15366" width="14.26953125" style="431" customWidth="1"/>
    <col min="15367" max="15367" width="14.453125" style="431" bestFit="1" customWidth="1"/>
    <col min="15368" max="15368" width="16.54296875" style="431" customWidth="1"/>
    <col min="15369" max="15369" width="3.7265625" style="431" bestFit="1" customWidth="1"/>
    <col min="15370" max="15370" width="11.453125" style="431"/>
    <col min="15371" max="15371" width="16.54296875" style="431" bestFit="1" customWidth="1"/>
    <col min="15372" max="15614" width="11.453125" style="431"/>
    <col min="15615" max="15615" width="5.453125" style="431" customWidth="1"/>
    <col min="15616" max="15616" width="20.7265625" style="431" customWidth="1"/>
    <col min="15617" max="15617" width="19.7265625" style="431" customWidth="1"/>
    <col min="15618" max="15618" width="15.26953125" style="431" customWidth="1"/>
    <col min="15619" max="15619" width="15.1796875" style="431" customWidth="1"/>
    <col min="15620" max="15620" width="28.1796875" style="431" bestFit="1" customWidth="1"/>
    <col min="15621" max="15622" width="14.26953125" style="431" customWidth="1"/>
    <col min="15623" max="15623" width="14.453125" style="431" bestFit="1" customWidth="1"/>
    <col min="15624" max="15624" width="16.54296875" style="431" customWidth="1"/>
    <col min="15625" max="15625" width="3.7265625" style="431" bestFit="1" customWidth="1"/>
    <col min="15626" max="15626" width="11.453125" style="431"/>
    <col min="15627" max="15627" width="16.54296875" style="431" bestFit="1" customWidth="1"/>
    <col min="15628" max="15870" width="11.453125" style="431"/>
    <col min="15871" max="15871" width="5.453125" style="431" customWidth="1"/>
    <col min="15872" max="15872" width="20.7265625" style="431" customWidth="1"/>
    <col min="15873" max="15873" width="19.7265625" style="431" customWidth="1"/>
    <col min="15874" max="15874" width="15.26953125" style="431" customWidth="1"/>
    <col min="15875" max="15875" width="15.1796875" style="431" customWidth="1"/>
    <col min="15876" max="15876" width="28.1796875" style="431" bestFit="1" customWidth="1"/>
    <col min="15877" max="15878" width="14.26953125" style="431" customWidth="1"/>
    <col min="15879" max="15879" width="14.453125" style="431" bestFit="1" customWidth="1"/>
    <col min="15880" max="15880" width="16.54296875" style="431" customWidth="1"/>
    <col min="15881" max="15881" width="3.7265625" style="431" bestFit="1" customWidth="1"/>
    <col min="15882" max="15882" width="11.453125" style="431"/>
    <col min="15883" max="15883" width="16.54296875" style="431" bestFit="1" customWidth="1"/>
    <col min="15884" max="16126" width="11.453125" style="431"/>
    <col min="16127" max="16127" width="5.453125" style="431" customWidth="1"/>
    <col min="16128" max="16128" width="20.7265625" style="431" customWidth="1"/>
    <col min="16129" max="16129" width="19.7265625" style="431" customWidth="1"/>
    <col min="16130" max="16130" width="15.26953125" style="431" customWidth="1"/>
    <col min="16131" max="16131" width="15.1796875" style="431" customWidth="1"/>
    <col min="16132" max="16132" width="28.1796875" style="431" bestFit="1" customWidth="1"/>
    <col min="16133" max="16134" width="14.26953125" style="431" customWidth="1"/>
    <col min="16135" max="16135" width="14.453125" style="431" bestFit="1" customWidth="1"/>
    <col min="16136" max="16136" width="16.54296875" style="431" customWidth="1"/>
    <col min="16137" max="16137" width="3.7265625" style="431" bestFit="1" customWidth="1"/>
    <col min="16138" max="16138" width="11.453125" style="431"/>
    <col min="16139" max="16139" width="16.54296875" style="431" bestFit="1" customWidth="1"/>
    <col min="16140" max="16384" width="11.453125" style="431"/>
  </cols>
  <sheetData>
    <row r="1" spans="1:8" s="429" customFormat="1" ht="13" x14ac:dyDescent="0.3">
      <c r="A1" s="427"/>
      <c r="B1" s="428" t="s">
        <v>3152</v>
      </c>
    </row>
    <row r="2" spans="1:8" ht="13" thickBot="1" x14ac:dyDescent="0.3"/>
    <row r="3" spans="1:8" ht="13.5" thickBot="1" x14ac:dyDescent="0.35">
      <c r="B3" s="432" t="s">
        <v>3153</v>
      </c>
      <c r="C3" s="852" t="s">
        <v>3154</v>
      </c>
      <c r="D3" s="853"/>
      <c r="E3" s="854"/>
    </row>
    <row r="4" spans="1:8" ht="13.5" thickBot="1" x14ac:dyDescent="0.35">
      <c r="B4" s="432" t="s">
        <v>3155</v>
      </c>
      <c r="C4" s="433">
        <f>REPORTING_DATE</f>
        <v>45291</v>
      </c>
      <c r="D4" s="434"/>
    </row>
    <row r="6" spans="1:8" x14ac:dyDescent="0.25">
      <c r="C6" s="435"/>
    </row>
    <row r="7" spans="1:8" s="428" customFormat="1" ht="13" x14ac:dyDescent="0.3">
      <c r="A7" s="436">
        <v>1</v>
      </c>
      <c r="B7" s="428" t="s">
        <v>3156</v>
      </c>
    </row>
    <row r="9" spans="1:8" ht="13" thickBot="1" x14ac:dyDescent="0.3"/>
    <row r="10" spans="1:8" ht="13" x14ac:dyDescent="0.3">
      <c r="A10" s="430" t="s">
        <v>3157</v>
      </c>
      <c r="B10" s="437" t="s">
        <v>3158</v>
      </c>
      <c r="C10" s="438"/>
      <c r="D10" s="438"/>
      <c r="E10" s="855" t="s">
        <v>3159</v>
      </c>
      <c r="F10" s="856"/>
      <c r="G10" s="856"/>
      <c r="H10" s="857"/>
    </row>
    <row r="11" spans="1:8" ht="13" x14ac:dyDescent="0.3">
      <c r="B11" s="439" t="s">
        <v>3160</v>
      </c>
      <c r="C11" s="440"/>
      <c r="D11" s="440"/>
      <c r="E11" s="858" t="s">
        <v>3159</v>
      </c>
      <c r="F11" s="859"/>
      <c r="G11" s="859"/>
      <c r="H11" s="860"/>
    </row>
    <row r="12" spans="1:8" ht="13.5" thickBot="1" x14ac:dyDescent="0.35">
      <c r="B12" s="441" t="s">
        <v>3161</v>
      </c>
      <c r="C12" s="442"/>
      <c r="D12" s="442"/>
      <c r="E12" s="861" t="s">
        <v>3162</v>
      </c>
      <c r="F12" s="862"/>
      <c r="G12" s="862"/>
      <c r="H12" s="863"/>
    </row>
    <row r="13" spans="1:8" x14ac:dyDescent="0.25">
      <c r="B13" s="443"/>
      <c r="C13" s="443"/>
      <c r="D13" s="443"/>
      <c r="E13" s="443"/>
      <c r="F13" s="444"/>
    </row>
    <row r="14" spans="1:8" ht="13" thickBot="1" x14ac:dyDescent="0.3">
      <c r="B14" s="445"/>
      <c r="C14" s="445"/>
      <c r="D14" s="445"/>
      <c r="E14" s="445"/>
      <c r="F14" s="444"/>
    </row>
    <row r="15" spans="1:8" ht="13.5" thickBot="1" x14ac:dyDescent="0.35">
      <c r="A15" s="430" t="s">
        <v>3163</v>
      </c>
      <c r="E15" s="446"/>
      <c r="F15" s="447" t="s">
        <v>3164</v>
      </c>
      <c r="G15" s="448" t="s">
        <v>3165</v>
      </c>
      <c r="H15" s="449" t="s">
        <v>3166</v>
      </c>
    </row>
    <row r="16" spans="1:8" ht="13" x14ac:dyDescent="0.3">
      <c r="B16" s="450" t="s">
        <v>3167</v>
      </c>
      <c r="C16" s="451"/>
      <c r="D16" s="451"/>
      <c r="E16" s="451" t="s">
        <v>3168</v>
      </c>
      <c r="F16" s="452" t="s">
        <v>3169</v>
      </c>
      <c r="G16" s="453"/>
      <c r="H16" s="454" t="s">
        <v>3170</v>
      </c>
    </row>
    <row r="17" spans="1:8" ht="13" x14ac:dyDescent="0.3">
      <c r="B17" s="455"/>
      <c r="C17" s="456"/>
      <c r="D17" s="456"/>
      <c r="E17" s="456" t="s">
        <v>3171</v>
      </c>
      <c r="F17" s="457" t="s">
        <v>3395</v>
      </c>
      <c r="G17" s="458"/>
      <c r="H17" s="459" t="s">
        <v>3170</v>
      </c>
    </row>
    <row r="18" spans="1:8" ht="13.5" thickBot="1" x14ac:dyDescent="0.35">
      <c r="B18" s="460"/>
      <c r="C18" s="461"/>
      <c r="D18" s="461"/>
      <c r="E18" s="461" t="s">
        <v>3172</v>
      </c>
      <c r="F18" s="462" t="s">
        <v>3396</v>
      </c>
      <c r="G18" s="463"/>
      <c r="H18" s="464" t="s">
        <v>3170</v>
      </c>
    </row>
    <row r="19" spans="1:8" x14ac:dyDescent="0.25">
      <c r="F19" s="465"/>
      <c r="G19" s="465"/>
      <c r="H19" s="465"/>
    </row>
    <row r="20" spans="1:8" ht="13" thickBot="1" x14ac:dyDescent="0.3">
      <c r="F20" s="465"/>
      <c r="G20" s="465"/>
      <c r="H20" s="465"/>
    </row>
    <row r="21" spans="1:8" ht="13.5" thickBot="1" x14ac:dyDescent="0.35">
      <c r="A21" s="430" t="s">
        <v>3173</v>
      </c>
      <c r="E21" s="446"/>
      <c r="F21" s="466" t="s">
        <v>3164</v>
      </c>
      <c r="G21" s="467" t="s">
        <v>3174</v>
      </c>
      <c r="H21" s="468" t="s">
        <v>3166</v>
      </c>
    </row>
    <row r="22" spans="1:8" ht="13" x14ac:dyDescent="0.3">
      <c r="A22" s="431"/>
      <c r="B22" s="437" t="s">
        <v>3175</v>
      </c>
      <c r="C22" s="438"/>
      <c r="D22" s="438"/>
      <c r="E22" s="469" t="s">
        <v>3168</v>
      </c>
      <c r="F22" s="470" t="s">
        <v>3176</v>
      </c>
      <c r="G22" s="471"/>
      <c r="H22" s="472"/>
    </row>
    <row r="23" spans="1:8" ht="13" x14ac:dyDescent="0.3">
      <c r="B23" s="473"/>
      <c r="C23" s="474"/>
      <c r="D23" s="474"/>
      <c r="E23" s="456" t="s">
        <v>3171</v>
      </c>
      <c r="F23" s="475" t="s">
        <v>3176</v>
      </c>
      <c r="G23" s="476"/>
      <c r="H23" s="477"/>
    </row>
    <row r="24" spans="1:8" ht="13.5" thickBot="1" x14ac:dyDescent="0.35">
      <c r="B24" s="441"/>
      <c r="C24" s="442"/>
      <c r="D24" s="442"/>
      <c r="E24" s="478" t="s">
        <v>3172</v>
      </c>
      <c r="F24" s="479" t="s">
        <v>3176</v>
      </c>
      <c r="G24" s="480"/>
      <c r="H24" s="481"/>
    </row>
    <row r="25" spans="1:8" x14ac:dyDescent="0.25">
      <c r="F25" s="465"/>
      <c r="G25" s="465"/>
      <c r="H25" s="465"/>
    </row>
    <row r="26" spans="1:8" ht="13" thickBot="1" x14ac:dyDescent="0.3">
      <c r="F26" s="465"/>
      <c r="G26" s="465"/>
      <c r="H26" s="465"/>
    </row>
    <row r="27" spans="1:8" ht="13" x14ac:dyDescent="0.3">
      <c r="A27" s="430" t="s">
        <v>3177</v>
      </c>
      <c r="B27" s="437" t="s">
        <v>3178</v>
      </c>
      <c r="C27" s="482"/>
      <c r="D27" s="483">
        <f>CORE_TIER1_RATIO/100</f>
        <v>0.122544</v>
      </c>
      <c r="F27" s="484"/>
    </row>
    <row r="28" spans="1:8" ht="13.5" thickBot="1" x14ac:dyDescent="0.35">
      <c r="B28" s="441"/>
      <c r="C28" s="485" t="s">
        <v>3179</v>
      </c>
      <c r="D28" s="486">
        <f>REPORTING_DATE</f>
        <v>45291</v>
      </c>
    </row>
    <row r="31" spans="1:8" s="428" customFormat="1" ht="13" x14ac:dyDescent="0.3">
      <c r="A31" s="436">
        <v>2</v>
      </c>
      <c r="B31" s="428" t="s">
        <v>3180</v>
      </c>
    </row>
    <row r="34" spans="1:7" s="488" customFormat="1" ht="13" x14ac:dyDescent="0.3">
      <c r="A34" s="430" t="s">
        <v>3181</v>
      </c>
      <c r="B34" s="487" t="s">
        <v>3182</v>
      </c>
    </row>
    <row r="35" spans="1:7" s="488" customFormat="1" ht="13.5" thickBot="1" x14ac:dyDescent="0.35">
      <c r="A35" s="430"/>
      <c r="B35" s="487"/>
    </row>
    <row r="36" spans="1:7" ht="13" x14ac:dyDescent="0.3">
      <c r="B36" s="437" t="s">
        <v>3183</v>
      </c>
      <c r="C36" s="438"/>
      <c r="D36" s="438"/>
      <c r="E36" s="864" t="s">
        <v>3154</v>
      </c>
      <c r="F36" s="865"/>
    </row>
    <row r="37" spans="1:7" ht="13" x14ac:dyDescent="0.3">
      <c r="B37" s="439" t="s">
        <v>3184</v>
      </c>
      <c r="C37" s="440"/>
      <c r="D37" s="440"/>
      <c r="E37" s="866" t="s">
        <v>517</v>
      </c>
      <c r="F37" s="867"/>
    </row>
    <row r="38" spans="1:7" ht="13.5" thickBot="1" x14ac:dyDescent="0.35">
      <c r="B38" s="489" t="s">
        <v>3185</v>
      </c>
      <c r="C38" s="490"/>
      <c r="D38" s="490"/>
      <c r="E38" s="850" t="s">
        <v>3130</v>
      </c>
      <c r="F38" s="851"/>
    </row>
    <row r="39" spans="1:7" ht="13" thickBot="1" x14ac:dyDescent="0.3">
      <c r="B39" s="491"/>
      <c r="C39" s="491"/>
      <c r="D39" s="491"/>
      <c r="E39" s="492"/>
      <c r="F39" s="493"/>
    </row>
    <row r="40" spans="1:7" ht="13" x14ac:dyDescent="0.3">
      <c r="B40" s="494" t="s">
        <v>3186</v>
      </c>
      <c r="C40" s="495"/>
      <c r="D40" s="495"/>
      <c r="E40" s="496" t="s">
        <v>3130</v>
      </c>
      <c r="F40" s="497"/>
    </row>
    <row r="41" spans="1:7" ht="13" x14ac:dyDescent="0.3">
      <c r="B41" s="473" t="s">
        <v>3187</v>
      </c>
      <c r="C41" s="474"/>
      <c r="D41" s="474"/>
      <c r="E41" s="498" t="s">
        <v>2775</v>
      </c>
      <c r="F41" s="497"/>
    </row>
    <row r="42" spans="1:7" ht="13.5" thickBot="1" x14ac:dyDescent="0.35">
      <c r="B42" s="489" t="s">
        <v>3188</v>
      </c>
      <c r="C42" s="490"/>
      <c r="D42" s="490"/>
      <c r="E42" s="499" t="s">
        <v>2775</v>
      </c>
      <c r="F42" s="497"/>
    </row>
    <row r="45" spans="1:7" s="488" customFormat="1" ht="13" x14ac:dyDescent="0.3">
      <c r="A45" s="430" t="s">
        <v>3189</v>
      </c>
      <c r="B45" s="487" t="s">
        <v>3190</v>
      </c>
    </row>
    <row r="46" spans="1:7" s="488" customFormat="1" ht="13.5" thickBot="1" x14ac:dyDescent="0.35">
      <c r="A46" s="430"/>
      <c r="B46" s="487"/>
    </row>
    <row r="47" spans="1:7" s="488" customFormat="1" ht="13" x14ac:dyDescent="0.3">
      <c r="A47" s="430"/>
      <c r="B47" s="487"/>
      <c r="C47" s="431"/>
      <c r="E47" s="500" t="s">
        <v>145</v>
      </c>
      <c r="F47" s="501" t="s">
        <v>3191</v>
      </c>
      <c r="G47" s="502"/>
    </row>
    <row r="48" spans="1:7" s="488" customFormat="1" ht="13.5" thickBot="1" x14ac:dyDescent="0.35">
      <c r="A48" s="430"/>
      <c r="B48" s="487"/>
      <c r="C48" s="503"/>
      <c r="E48" s="504" t="s">
        <v>3192</v>
      </c>
      <c r="F48" s="505" t="s">
        <v>3193</v>
      </c>
      <c r="G48" s="502"/>
    </row>
    <row r="49" spans="1:7" ht="13" x14ac:dyDescent="0.3">
      <c r="B49" s="437" t="s">
        <v>3194</v>
      </c>
      <c r="C49" s="451" t="s">
        <v>3195</v>
      </c>
      <c r="D49" s="506"/>
      <c r="E49" s="507"/>
      <c r="F49" s="508"/>
    </row>
    <row r="50" spans="1:7" ht="13" x14ac:dyDescent="0.3">
      <c r="B50" s="473"/>
      <c r="C50" s="509" t="s">
        <v>3196</v>
      </c>
      <c r="D50" s="510"/>
      <c r="E50" s="511"/>
      <c r="F50" s="512"/>
    </row>
    <row r="51" spans="1:7" ht="13" x14ac:dyDescent="0.3">
      <c r="B51" s="473"/>
      <c r="C51" s="509" t="s">
        <v>3197</v>
      </c>
      <c r="D51" s="440"/>
      <c r="E51" s="513">
        <f>CRD_PRETS_SELECTION/1000000</f>
        <v>5832.1503095400003</v>
      </c>
      <c r="F51" s="514">
        <f>CRD_PRETS_SELECTIONNES_SFH_ELIGIBLES_ACC/1000000</f>
        <v>3.1947655799999999</v>
      </c>
    </row>
    <row r="52" spans="1:7" ht="13.5" thickBot="1" x14ac:dyDescent="0.35">
      <c r="B52" s="441"/>
      <c r="C52" s="515" t="s">
        <v>3198</v>
      </c>
      <c r="D52" s="516"/>
      <c r="E52" s="517"/>
      <c r="F52" s="518"/>
    </row>
    <row r="53" spans="1:7" ht="13.5" thickBot="1" x14ac:dyDescent="0.35">
      <c r="B53" s="519"/>
      <c r="C53" s="520" t="s">
        <v>145</v>
      </c>
      <c r="D53" s="520"/>
      <c r="E53" s="521">
        <f>SUM(E49:E52)</f>
        <v>5832.1503095400003</v>
      </c>
      <c r="F53" s="521">
        <f>SUM(F49:F52)</f>
        <v>3.1947655799999999</v>
      </c>
      <c r="G53" s="497"/>
    </row>
    <row r="54" spans="1:7" ht="13" thickBot="1" x14ac:dyDescent="0.3"/>
    <row r="55" spans="1:7" ht="13.5" thickBot="1" x14ac:dyDescent="0.35">
      <c r="B55" s="519" t="s">
        <v>3199</v>
      </c>
      <c r="C55" s="520"/>
      <c r="D55" s="522"/>
      <c r="E55" s="523">
        <f>BONDS_AMOUNT/1000000</f>
        <v>3500</v>
      </c>
    </row>
    <row r="58" spans="1:7" s="488" customFormat="1" ht="13" x14ac:dyDescent="0.3">
      <c r="A58" s="430" t="s">
        <v>3200</v>
      </c>
      <c r="B58" s="487" t="s">
        <v>3201</v>
      </c>
    </row>
    <row r="59" spans="1:7" s="488" customFormat="1" ht="13.5" thickBot="1" x14ac:dyDescent="0.35">
      <c r="A59" s="430"/>
      <c r="B59" s="487"/>
      <c r="F59" s="431"/>
    </row>
    <row r="60" spans="1:7" ht="12.75" customHeight="1" thickBot="1" x14ac:dyDescent="0.35">
      <c r="C60" s="524" t="s">
        <v>3202</v>
      </c>
      <c r="D60" s="525" t="s">
        <v>3203</v>
      </c>
    </row>
    <row r="61" spans="1:7" ht="13" x14ac:dyDescent="0.3">
      <c r="B61" s="437" t="s">
        <v>3204</v>
      </c>
      <c r="C61" s="526">
        <f>LEGAL_COVERAGE_RATIO_MINIMUM/100</f>
        <v>1.05</v>
      </c>
      <c r="D61" s="527">
        <f>LEGAL_COVERAGE_RATIO_CURRENT/100</f>
        <v>1.6387</v>
      </c>
    </row>
    <row r="62" spans="1:7" ht="13" x14ac:dyDescent="0.3">
      <c r="B62" s="439" t="s">
        <v>2745</v>
      </c>
      <c r="C62" s="528">
        <f>1/0.9</f>
        <v>1.1111111111111112</v>
      </c>
      <c r="D62" s="529">
        <v>1.5127437917289579</v>
      </c>
      <c r="E62" s="530"/>
    </row>
    <row r="63" spans="1:7" ht="13.5" thickBot="1" x14ac:dyDescent="0.35">
      <c r="B63" s="441" t="s">
        <v>1644</v>
      </c>
      <c r="C63" s="531"/>
      <c r="D63" s="532"/>
    </row>
    <row r="64" spans="1:7" ht="13" x14ac:dyDescent="0.3">
      <c r="B64" s="445"/>
      <c r="C64" s="533"/>
      <c r="D64" s="445"/>
    </row>
    <row r="65" spans="1:7" ht="13" x14ac:dyDescent="0.3">
      <c r="B65" s="445"/>
      <c r="C65" s="533"/>
      <c r="D65" s="445"/>
    </row>
    <row r="66" spans="1:7" ht="13" x14ac:dyDescent="0.3">
      <c r="A66" s="430" t="s">
        <v>3205</v>
      </c>
      <c r="B66" s="487" t="s">
        <v>3206</v>
      </c>
      <c r="C66" s="533"/>
      <c r="D66" s="445"/>
    </row>
    <row r="67" spans="1:7" ht="13.5" thickBot="1" x14ac:dyDescent="0.35">
      <c r="B67" s="445"/>
      <c r="C67" s="533"/>
      <c r="D67" s="445"/>
    </row>
    <row r="68" spans="1:7" ht="13.5" thickBot="1" x14ac:dyDescent="0.35">
      <c r="B68" s="445"/>
      <c r="C68" s="533"/>
      <c r="D68" s="445"/>
      <c r="E68" s="466" t="s">
        <v>3164</v>
      </c>
      <c r="F68" s="467" t="s">
        <v>3165</v>
      </c>
      <c r="G68" s="468" t="s">
        <v>3166</v>
      </c>
    </row>
    <row r="69" spans="1:7" ht="13" x14ac:dyDescent="0.3">
      <c r="B69" s="437" t="s">
        <v>3207</v>
      </c>
      <c r="C69" s="438"/>
      <c r="D69" s="469" t="s">
        <v>3168</v>
      </c>
      <c r="E69" s="470" t="s">
        <v>3176</v>
      </c>
      <c r="F69" s="534"/>
      <c r="G69" s="535"/>
    </row>
    <row r="70" spans="1:7" ht="13" x14ac:dyDescent="0.3">
      <c r="B70" s="473"/>
      <c r="C70" s="474"/>
      <c r="D70" s="456" t="s">
        <v>3171</v>
      </c>
      <c r="E70" s="475" t="s">
        <v>3208</v>
      </c>
      <c r="F70" s="458" t="s">
        <v>3209</v>
      </c>
      <c r="G70" s="459"/>
    </row>
    <row r="71" spans="1:7" ht="13.5" thickBot="1" x14ac:dyDescent="0.35">
      <c r="B71" s="441"/>
      <c r="C71" s="442"/>
      <c r="D71" s="478" t="s">
        <v>3172</v>
      </c>
      <c r="E71" s="479" t="s">
        <v>3210</v>
      </c>
      <c r="F71" s="463"/>
      <c r="G71" s="536" t="s">
        <v>3170</v>
      </c>
    </row>
    <row r="74" spans="1:7" ht="13" x14ac:dyDescent="0.3">
      <c r="A74" s="430" t="s">
        <v>3211</v>
      </c>
      <c r="B74" s="487" t="s">
        <v>3212</v>
      </c>
      <c r="C74" s="537"/>
    </row>
    <row r="75" spans="1:7" ht="13.5" thickBot="1" x14ac:dyDescent="0.35">
      <c r="A75" s="538"/>
      <c r="B75" s="537"/>
      <c r="C75" s="537"/>
    </row>
    <row r="76" spans="1:7" ht="13.5" thickBot="1" x14ac:dyDescent="0.35">
      <c r="B76" s="519" t="s">
        <v>3213</v>
      </c>
      <c r="C76" s="520"/>
      <c r="D76" s="522"/>
      <c r="E76" s="539" t="s">
        <v>3214</v>
      </c>
    </row>
    <row r="77" spans="1:7" ht="14.5" x14ac:dyDescent="0.35">
      <c r="B77" s="439" t="s">
        <v>3215</v>
      </c>
      <c r="C77" s="440"/>
      <c r="D77" s="510"/>
      <c r="E77" s="540">
        <f>LIABILITIES_EQUITY/1000000</f>
        <v>115.33935200000001</v>
      </c>
    </row>
    <row r="78" spans="1:7" ht="14.5" x14ac:dyDescent="0.35">
      <c r="B78" s="439" t="s">
        <v>3216</v>
      </c>
      <c r="C78" s="440"/>
      <c r="D78" s="510"/>
      <c r="E78" s="540">
        <v>0</v>
      </c>
      <c r="F78" s="541"/>
    </row>
    <row r="79" spans="1:7" ht="15" thickBot="1" x14ac:dyDescent="0.4">
      <c r="B79" s="489" t="s">
        <v>3217</v>
      </c>
      <c r="C79" s="490"/>
      <c r="D79" s="516"/>
      <c r="E79" s="540">
        <f>LIABILITIES_OTHER_NON_PRIVILEGED_LIABILITIES/1000000</f>
        <v>1.6606050000000001</v>
      </c>
    </row>
    <row r="80" spans="1:7" ht="15" thickBot="1" x14ac:dyDescent="0.4">
      <c r="B80" s="519"/>
      <c r="C80" s="520"/>
      <c r="D80" s="542" t="s">
        <v>3218</v>
      </c>
      <c r="E80" s="543">
        <f>SUM(E77:E79)</f>
        <v>116.99995700000001</v>
      </c>
      <c r="G80" s="541"/>
    </row>
    <row r="81" spans="1:7" ht="14.5" x14ac:dyDescent="0.35">
      <c r="B81" s="544" t="s">
        <v>3199</v>
      </c>
      <c r="C81" s="545"/>
      <c r="D81" s="546"/>
      <c r="E81" s="547">
        <f>E55</f>
        <v>3500</v>
      </c>
    </row>
    <row r="82" spans="1:7" ht="15" thickBot="1" x14ac:dyDescent="0.4">
      <c r="B82" s="548" t="s">
        <v>3219</v>
      </c>
      <c r="C82" s="549"/>
      <c r="D82" s="550"/>
      <c r="E82" s="540">
        <f>LIABILITIES_OTHER_PRIVILEGED_LIABILITIES/1000000</f>
        <v>24.451844000000001</v>
      </c>
    </row>
    <row r="83" spans="1:7" ht="15" thickBot="1" x14ac:dyDescent="0.4">
      <c r="B83" s="519"/>
      <c r="C83" s="520"/>
      <c r="D83" s="542" t="s">
        <v>3220</v>
      </c>
      <c r="E83" s="547">
        <f>E81+E82</f>
        <v>3524.4518440000002</v>
      </c>
    </row>
    <row r="84" spans="1:7" ht="15" thickBot="1" x14ac:dyDescent="0.4">
      <c r="B84" s="519" t="s">
        <v>3221</v>
      </c>
      <c r="C84" s="520"/>
      <c r="D84" s="522"/>
      <c r="E84" s="543">
        <f>E80+E83</f>
        <v>3641.4518010000002</v>
      </c>
    </row>
    <row r="87" spans="1:7" ht="13" x14ac:dyDescent="0.3">
      <c r="A87" s="430" t="s">
        <v>3222</v>
      </c>
      <c r="B87" s="487" t="s">
        <v>3223</v>
      </c>
      <c r="C87" s="537"/>
      <c r="D87" s="430"/>
      <c r="E87" s="551"/>
      <c r="F87" s="552"/>
      <c r="G87" s="552"/>
    </row>
    <row r="88" spans="1:7" x14ac:dyDescent="0.25">
      <c r="A88" s="553"/>
      <c r="B88" s="552"/>
      <c r="C88" s="552"/>
      <c r="D88" s="552"/>
      <c r="E88" s="551"/>
      <c r="F88" s="552"/>
      <c r="G88" s="552"/>
    </row>
    <row r="89" spans="1:7" ht="14.5" x14ac:dyDescent="0.25">
      <c r="A89" s="552"/>
      <c r="B89" s="554" t="s">
        <v>3224</v>
      </c>
      <c r="E89" s="555"/>
    </row>
    <row r="90" spans="1:7" ht="14.5" x14ac:dyDescent="0.25">
      <c r="A90" s="552"/>
      <c r="B90" s="554" t="s">
        <v>3225</v>
      </c>
      <c r="C90" s="556"/>
      <c r="D90" s="556"/>
      <c r="E90" s="555"/>
    </row>
    <row r="91" spans="1:7" ht="14.5" x14ac:dyDescent="0.25">
      <c r="A91" s="552"/>
      <c r="B91" s="554" t="s">
        <v>3226</v>
      </c>
      <c r="C91" s="556"/>
      <c r="D91" s="556"/>
      <c r="E91" s="555"/>
    </row>
    <row r="92" spans="1:7" ht="14.5" x14ac:dyDescent="0.25">
      <c r="A92" s="552"/>
      <c r="B92" s="554" t="s">
        <v>3227</v>
      </c>
      <c r="C92" s="556"/>
      <c r="D92" s="556"/>
      <c r="E92" s="555"/>
    </row>
    <row r="93" spans="1:7" ht="14.5" x14ac:dyDescent="0.25">
      <c r="A93" s="552"/>
      <c r="B93" s="554" t="s">
        <v>3228</v>
      </c>
      <c r="C93" s="556"/>
      <c r="D93" s="556"/>
      <c r="E93" s="555"/>
    </row>
    <row r="94" spans="1:7" ht="14.5" x14ac:dyDescent="0.35">
      <c r="A94" s="553"/>
      <c r="C94" s="557" t="s">
        <v>3229</v>
      </c>
      <c r="D94" s="556"/>
      <c r="E94" s="555"/>
    </row>
    <row r="95" spans="1:7" ht="14.5" x14ac:dyDescent="0.35">
      <c r="A95" s="553"/>
      <c r="C95" s="557" t="s">
        <v>3230</v>
      </c>
      <c r="D95" s="556"/>
      <c r="E95" s="555"/>
    </row>
    <row r="96" spans="1:7" ht="14.5" x14ac:dyDescent="0.35">
      <c r="A96" s="553"/>
      <c r="C96" s="557" t="s">
        <v>3231</v>
      </c>
      <c r="D96" s="556"/>
      <c r="E96" s="555"/>
    </row>
    <row r="97" spans="1:7" ht="14.5" x14ac:dyDescent="0.25">
      <c r="A97" s="553"/>
      <c r="B97" s="558" t="s">
        <v>3232</v>
      </c>
      <c r="C97" s="556"/>
      <c r="D97" s="556"/>
      <c r="E97" s="555"/>
    </row>
    <row r="98" spans="1:7" ht="14.5" x14ac:dyDescent="0.25">
      <c r="A98" s="553"/>
      <c r="B98" s="558" t="s">
        <v>3233</v>
      </c>
      <c r="E98" s="555"/>
    </row>
    <row r="99" spans="1:7" x14ac:dyDescent="0.25">
      <c r="A99" s="553"/>
      <c r="B99" s="552"/>
      <c r="C99" s="552"/>
      <c r="D99" s="552"/>
      <c r="E99" s="552"/>
      <c r="F99" s="552"/>
      <c r="G99" s="552"/>
    </row>
    <row r="100" spans="1:7" ht="13" x14ac:dyDescent="0.3">
      <c r="A100" s="430" t="s">
        <v>3234</v>
      </c>
      <c r="B100" s="487" t="s">
        <v>3235</v>
      </c>
      <c r="C100" s="537"/>
      <c r="D100" s="430" t="s">
        <v>2775</v>
      </c>
      <c r="E100" s="552"/>
      <c r="F100" s="552"/>
      <c r="G100" s="552"/>
    </row>
    <row r="103" spans="1:7" s="428" customFormat="1" ht="13" x14ac:dyDescent="0.3">
      <c r="A103" s="436">
        <v>3</v>
      </c>
      <c r="B103" s="428" t="s">
        <v>3236</v>
      </c>
    </row>
    <row r="104" spans="1:7" s="533" customFormat="1" ht="13" x14ac:dyDescent="0.3">
      <c r="A104" s="559"/>
    </row>
    <row r="106" spans="1:7" ht="13" x14ac:dyDescent="0.3">
      <c r="A106" s="430" t="s">
        <v>3237</v>
      </c>
      <c r="B106" s="487" t="s">
        <v>3238</v>
      </c>
    </row>
    <row r="107" spans="1:7" ht="13" thickBot="1" x14ac:dyDescent="0.3"/>
    <row r="108" spans="1:7" ht="13" thickBot="1" x14ac:dyDescent="0.3">
      <c r="B108" s="560"/>
      <c r="C108" s="561"/>
      <c r="D108" s="562" t="s">
        <v>3239</v>
      </c>
      <c r="E108" s="563" t="s">
        <v>2745</v>
      </c>
      <c r="F108" s="563" t="s">
        <v>3240</v>
      </c>
    </row>
    <row r="109" spans="1:7" ht="13" x14ac:dyDescent="0.3">
      <c r="B109" s="473" t="s">
        <v>3241</v>
      </c>
      <c r="C109" s="474"/>
      <c r="D109" s="564"/>
      <c r="E109" s="564"/>
      <c r="F109" s="565"/>
    </row>
    <row r="110" spans="1:7" ht="13" x14ac:dyDescent="0.3">
      <c r="B110" s="439" t="s">
        <v>456</v>
      </c>
      <c r="C110" s="440"/>
      <c r="D110" s="566">
        <f>WAL_EXPECTED_YEARS</f>
        <v>4.9142979689708293</v>
      </c>
      <c r="E110" s="566">
        <f>WAL_CONTRACTUAL_YEARS</f>
        <v>6.6740726188956998</v>
      </c>
      <c r="F110" s="567"/>
    </row>
    <row r="111" spans="1:7" ht="13" x14ac:dyDescent="0.3">
      <c r="B111" s="439" t="s">
        <v>458</v>
      </c>
      <c r="C111" s="440"/>
      <c r="D111" s="568"/>
      <c r="E111" s="569"/>
      <c r="F111" s="570"/>
      <c r="G111" s="571"/>
    </row>
    <row r="112" spans="1:7" ht="13.5" thickBot="1" x14ac:dyDescent="0.35">
      <c r="B112" s="473" t="s">
        <v>3198</v>
      </c>
      <c r="C112" s="474"/>
      <c r="D112" s="572"/>
      <c r="E112" s="573"/>
      <c r="F112" s="574"/>
    </row>
    <row r="113" spans="1:13" ht="13.5" thickBot="1" x14ac:dyDescent="0.35">
      <c r="B113" s="519"/>
      <c r="C113" s="520" t="s">
        <v>3242</v>
      </c>
      <c r="D113" s="575">
        <f>SUM(D109:D112)</f>
        <v>4.9142979689708293</v>
      </c>
      <c r="E113" s="575">
        <f>SUM(E109:E112)</f>
        <v>6.6740726188956998</v>
      </c>
      <c r="F113" s="576"/>
    </row>
    <row r="114" spans="1:13" ht="13.5" thickBot="1" x14ac:dyDescent="0.35">
      <c r="B114" s="503"/>
      <c r="C114" s="577"/>
      <c r="D114" s="503"/>
      <c r="E114" s="503"/>
    </row>
    <row r="115" spans="1:13" ht="13.5" thickBot="1" x14ac:dyDescent="0.35">
      <c r="B115" s="441"/>
      <c r="C115" s="578" t="s">
        <v>3243</v>
      </c>
      <c r="D115" s="575">
        <f>WAL_BONDS_YEARS</f>
        <v>3.7246504351227099</v>
      </c>
      <c r="E115" s="575">
        <f>WAL_BONDS_YEARS</f>
        <v>3.7246504351227099</v>
      </c>
      <c r="F115" s="579"/>
    </row>
    <row r="118" spans="1:13" ht="13" x14ac:dyDescent="0.3">
      <c r="A118" s="430" t="s">
        <v>3244</v>
      </c>
      <c r="B118" s="487" t="s">
        <v>3245</v>
      </c>
    </row>
    <row r="119" spans="1:13" ht="13" thickBot="1" x14ac:dyDescent="0.3"/>
    <row r="120" spans="1:13" ht="13.5" thickBot="1" x14ac:dyDescent="0.35">
      <c r="B120" s="503"/>
      <c r="C120" s="580"/>
      <c r="D120" s="581" t="s">
        <v>1533</v>
      </c>
      <c r="E120" s="467" t="s">
        <v>1534</v>
      </c>
      <c r="F120" s="582" t="s">
        <v>1535</v>
      </c>
      <c r="G120" s="467" t="s">
        <v>1536</v>
      </c>
      <c r="H120" s="467" t="s">
        <v>1537</v>
      </c>
      <c r="I120" s="467" t="s">
        <v>1538</v>
      </c>
      <c r="J120" s="539" t="s">
        <v>1539</v>
      </c>
    </row>
    <row r="121" spans="1:13" ht="13" x14ac:dyDescent="0.3">
      <c r="B121" s="437" t="s">
        <v>3241</v>
      </c>
      <c r="C121" s="583"/>
      <c r="D121" s="584"/>
      <c r="E121" s="585"/>
      <c r="F121" s="584"/>
      <c r="G121" s="585"/>
      <c r="H121" s="585"/>
      <c r="I121" s="584"/>
      <c r="J121" s="586"/>
    </row>
    <row r="122" spans="1:13" ht="13" x14ac:dyDescent="0.3">
      <c r="B122" s="439" t="s">
        <v>456</v>
      </c>
      <c r="C122" s="587"/>
      <c r="D122" s="588">
        <f>PRETS_REMBOURSEMENT_CRD_0_1_AN_AVEC_REMB_ANTICIPE/1000000</f>
        <v>737.90813071995296</v>
      </c>
      <c r="E122" s="589">
        <f>PRETS_REMBOURSEMENT_CRD_1_2_ANS_AVEC_REMB_ANTICIPE/1000000</f>
        <v>684.02664853996498</v>
      </c>
      <c r="F122" s="589">
        <f>PRETS_REMBOURSEMENT_CRD_2_3_ANS_AVEC_REMB_ANTICIPE/1000000</f>
        <v>625.27011354998001</v>
      </c>
      <c r="G122" s="589">
        <f>PRETS_REMBOURSEMENT_CRD_3_4_ANS_AVEC_REMB_ANTICIPE/1000000</f>
        <v>561.81978651003806</v>
      </c>
      <c r="H122" s="589">
        <f>PRETS_REMBOURSEMENT_CRD_4_5_ANS_AVEC_REMB_ANTICIPE/1000000</f>
        <v>504.82119517999303</v>
      </c>
      <c r="I122" s="589">
        <f>PRETS_REMBOURSEMENT_CRD_5_10_ANS_AVEC_REMB_ANTICIPE/1000000</f>
        <v>1763.43478868999</v>
      </c>
      <c r="J122" s="590">
        <f>PRETS_REMBOURSEMENT_CRD_APRES_10_ANS_AVEC_REMB_ANTICIPE/1000000</f>
        <v>954.86964635000197</v>
      </c>
      <c r="K122" s="591"/>
    </row>
    <row r="123" spans="1:13" ht="13" x14ac:dyDescent="0.3">
      <c r="B123" s="439" t="s">
        <v>458</v>
      </c>
      <c r="C123" s="587"/>
      <c r="D123" s="592"/>
      <c r="E123" s="593"/>
      <c r="F123" s="593"/>
      <c r="G123" s="593"/>
      <c r="H123" s="593"/>
      <c r="I123" s="593"/>
      <c r="J123" s="594"/>
      <c r="K123" s="488"/>
    </row>
    <row r="124" spans="1:13" ht="13.5" thickBot="1" x14ac:dyDescent="0.35">
      <c r="B124" s="441" t="s">
        <v>3198</v>
      </c>
      <c r="C124" s="595"/>
      <c r="D124" s="596"/>
      <c r="E124" s="597"/>
      <c r="F124" s="597"/>
      <c r="G124" s="597"/>
      <c r="H124" s="597"/>
      <c r="I124" s="597"/>
      <c r="J124" s="598"/>
      <c r="K124" s="488"/>
    </row>
    <row r="125" spans="1:13" ht="13.5" thickBot="1" x14ac:dyDescent="0.35">
      <c r="B125" s="519"/>
      <c r="C125" s="542" t="s">
        <v>3246</v>
      </c>
      <c r="D125" s="599">
        <f>SUM(D121:D124)</f>
        <v>737.90813071995296</v>
      </c>
      <c r="E125" s="599">
        <f t="shared" ref="E125:J125" si="0">SUM(E121:E124)</f>
        <v>684.02664853996498</v>
      </c>
      <c r="F125" s="599">
        <f t="shared" si="0"/>
        <v>625.27011354998001</v>
      </c>
      <c r="G125" s="599">
        <f t="shared" si="0"/>
        <v>561.81978651003806</v>
      </c>
      <c r="H125" s="599">
        <f t="shared" si="0"/>
        <v>504.82119517999303</v>
      </c>
      <c r="I125" s="599">
        <f t="shared" si="0"/>
        <v>1763.43478868999</v>
      </c>
      <c r="J125" s="599">
        <f t="shared" si="0"/>
        <v>954.86964635000197</v>
      </c>
      <c r="K125" s="488"/>
      <c r="M125" s="600"/>
    </row>
    <row r="126" spans="1:13" ht="13.5" thickBot="1" x14ac:dyDescent="0.35">
      <c r="B126" s="503"/>
      <c r="C126" s="601"/>
      <c r="D126" s="602"/>
      <c r="E126" s="602"/>
      <c r="F126" s="602"/>
      <c r="G126" s="602"/>
      <c r="H126" s="602"/>
      <c r="I126" s="602"/>
      <c r="J126" s="602"/>
      <c r="K126" s="488"/>
    </row>
    <row r="127" spans="1:13" ht="13.5" thickBot="1" x14ac:dyDescent="0.35">
      <c r="B127" s="441"/>
      <c r="C127" s="485" t="s">
        <v>3247</v>
      </c>
      <c r="D127" s="603">
        <f t="shared" ref="D127:J127" si="1">D139</f>
        <v>0</v>
      </c>
      <c r="E127" s="603">
        <f t="shared" si="1"/>
        <v>1000</v>
      </c>
      <c r="F127" s="603">
        <f t="shared" si="1"/>
        <v>0</v>
      </c>
      <c r="G127" s="603">
        <f t="shared" si="1"/>
        <v>1250</v>
      </c>
      <c r="H127" s="603">
        <f t="shared" si="1"/>
        <v>750</v>
      </c>
      <c r="I127" s="604">
        <f t="shared" si="1"/>
        <v>500</v>
      </c>
      <c r="J127" s="605">
        <f t="shared" si="1"/>
        <v>0</v>
      </c>
      <c r="K127" s="488"/>
    </row>
    <row r="128" spans="1:13" ht="13" x14ac:dyDescent="0.3">
      <c r="K128" s="488"/>
    </row>
    <row r="129" spans="1:11" ht="13" x14ac:dyDescent="0.3">
      <c r="K129" s="488"/>
    </row>
    <row r="130" spans="1:11" ht="13" x14ac:dyDescent="0.3">
      <c r="A130" s="430" t="s">
        <v>3248</v>
      </c>
      <c r="B130" s="487" t="s">
        <v>3249</v>
      </c>
      <c r="K130" s="488"/>
    </row>
    <row r="131" spans="1:11" ht="13.5" thickBot="1" x14ac:dyDescent="0.35">
      <c r="K131" s="488"/>
    </row>
    <row r="132" spans="1:11" ht="13.5" thickBot="1" x14ac:dyDescent="0.35">
      <c r="B132" s="503"/>
      <c r="C132" s="580"/>
      <c r="D132" s="581" t="s">
        <v>1533</v>
      </c>
      <c r="E132" s="467" t="s">
        <v>1534</v>
      </c>
      <c r="F132" s="582" t="s">
        <v>1535</v>
      </c>
      <c r="G132" s="467" t="s">
        <v>1536</v>
      </c>
      <c r="H132" s="467" t="s">
        <v>1537</v>
      </c>
      <c r="I132" s="582" t="s">
        <v>1538</v>
      </c>
      <c r="J132" s="468" t="s">
        <v>1539</v>
      </c>
      <c r="K132" s="488"/>
    </row>
    <row r="133" spans="1:11" ht="13" x14ac:dyDescent="0.3">
      <c r="B133" s="437" t="s">
        <v>3241</v>
      </c>
      <c r="C133" s="583"/>
      <c r="E133" s="606"/>
      <c r="G133" s="606"/>
      <c r="H133" s="606"/>
      <c r="J133" s="607"/>
      <c r="K133" s="488"/>
    </row>
    <row r="134" spans="1:11" ht="13" x14ac:dyDescent="0.3">
      <c r="B134" s="439" t="s">
        <v>456</v>
      </c>
      <c r="C134" s="587"/>
      <c r="D134" s="608">
        <f>PRETS_REMBOURSEMENT_CRD_0_1_AN/1000000</f>
        <v>545.76470193</v>
      </c>
      <c r="E134" s="609">
        <f>PRETS_REMBOURSEMENT_CRD_1_2_ANS/1000000</f>
        <v>536.80796801999998</v>
      </c>
      <c r="F134" s="609">
        <f>PRETS_REMBOURSEMENT_CRD_2_3_ANS/1000000</f>
        <v>519.35036255</v>
      </c>
      <c r="G134" s="609">
        <f>PRETS_REMBOURSEMENT_CRD_3_4_ANS/1000000</f>
        <v>492.23902687999998</v>
      </c>
      <c r="H134" s="609">
        <f>PRETS_REMBOURSEMENT_CRD_4_5_ANS/1000000</f>
        <v>467.39760598999999</v>
      </c>
      <c r="I134" s="609">
        <f>PRETS_REMBOURSEMENT_CRD_5_10_ANS/1000000</f>
        <v>1900.58055857</v>
      </c>
      <c r="J134" s="610">
        <f>PRETS_REMBOURSEMENT_CRD_APRES_10_ANS/1000000</f>
        <v>1370.0100855999999</v>
      </c>
      <c r="K134" s="591"/>
    </row>
    <row r="135" spans="1:11" ht="13" x14ac:dyDescent="0.3">
      <c r="B135" s="439" t="s">
        <v>458</v>
      </c>
      <c r="C135" s="587"/>
      <c r="D135" s="611"/>
      <c r="E135" s="612"/>
      <c r="F135" s="611"/>
      <c r="G135" s="612"/>
      <c r="H135" s="612"/>
      <c r="I135" s="611"/>
      <c r="J135" s="613"/>
    </row>
    <row r="136" spans="1:11" ht="13.5" thickBot="1" x14ac:dyDescent="0.35">
      <c r="B136" s="441" t="s">
        <v>3198</v>
      </c>
      <c r="C136" s="595"/>
      <c r="D136" s="614"/>
      <c r="E136" s="615"/>
      <c r="F136" s="614"/>
      <c r="G136" s="615"/>
      <c r="H136" s="615"/>
      <c r="I136" s="614"/>
      <c r="J136" s="616"/>
    </row>
    <row r="137" spans="1:11" ht="13.5" thickBot="1" x14ac:dyDescent="0.35">
      <c r="B137" s="519"/>
      <c r="C137" s="542" t="s">
        <v>3250</v>
      </c>
      <c r="D137" s="617">
        <f>SUM(D133:D136)</f>
        <v>545.76470193</v>
      </c>
      <c r="E137" s="617">
        <f t="shared" ref="E137:J137" si="2">SUM(E133:E136)</f>
        <v>536.80796801999998</v>
      </c>
      <c r="F137" s="617">
        <f t="shared" si="2"/>
        <v>519.35036255</v>
      </c>
      <c r="G137" s="617">
        <f t="shared" si="2"/>
        <v>492.23902687999998</v>
      </c>
      <c r="H137" s="617">
        <f t="shared" si="2"/>
        <v>467.39760598999999</v>
      </c>
      <c r="I137" s="617">
        <f t="shared" si="2"/>
        <v>1900.58055857</v>
      </c>
      <c r="J137" s="618">
        <f t="shared" si="2"/>
        <v>1370.0100855999999</v>
      </c>
    </row>
    <row r="138" spans="1:11" ht="13.5" thickBot="1" x14ac:dyDescent="0.35">
      <c r="C138" s="432"/>
      <c r="D138" s="584"/>
      <c r="E138" s="584"/>
      <c r="F138" s="584"/>
      <c r="G138" s="584"/>
      <c r="H138" s="584"/>
      <c r="I138" s="584"/>
      <c r="J138" s="584"/>
    </row>
    <row r="139" spans="1:11" ht="13.5" thickBot="1" x14ac:dyDescent="0.35">
      <c r="B139" s="619"/>
      <c r="C139" s="831" t="s">
        <v>3251</v>
      </c>
      <c r="D139" s="833">
        <f>BONDS_AMOUNT_EXPIRE_0_1_AN/1000000</f>
        <v>0</v>
      </c>
      <c r="E139" s="834">
        <f>BONDS_AMOUNT_EXPIRE_1_2_ANS/1000000</f>
        <v>1000</v>
      </c>
      <c r="F139" s="834">
        <f>BONDS_AMOUNT_EXPIRE_2_3_ANS/1000000</f>
        <v>0</v>
      </c>
      <c r="G139" s="834">
        <f>BONDS_AMOUNT_EXPIRE_3_4_ANS/1000000</f>
        <v>1250</v>
      </c>
      <c r="H139" s="834">
        <f>BONDS_AMOUNT_EXPIRE_4_5_ANS/1000000</f>
        <v>750</v>
      </c>
      <c r="I139" s="834">
        <f>BONDS_AMOUNT_EXPIRE_5_10_ANS/1000000</f>
        <v>500</v>
      </c>
      <c r="J139" s="835">
        <f>BONDS_AMOUNT_EXPIRE_APRES_10_ANS/1000000</f>
        <v>0</v>
      </c>
    </row>
    <row r="140" spans="1:11" ht="13" x14ac:dyDescent="0.3">
      <c r="B140" s="620"/>
      <c r="C140" s="832" t="s">
        <v>3252</v>
      </c>
      <c r="D140" s="836">
        <f>D139-D141</f>
        <v>0</v>
      </c>
      <c r="E140" s="609">
        <f t="shared" ref="E140:J140" si="3">E139-E141</f>
        <v>0</v>
      </c>
      <c r="F140" s="609">
        <f t="shared" si="3"/>
        <v>0</v>
      </c>
      <c r="G140" s="609">
        <f t="shared" si="3"/>
        <v>0</v>
      </c>
      <c r="H140" s="609">
        <f t="shared" si="3"/>
        <v>0</v>
      </c>
      <c r="I140" s="609">
        <f t="shared" si="3"/>
        <v>0</v>
      </c>
      <c r="J140" s="610">
        <f t="shared" si="3"/>
        <v>0</v>
      </c>
    </row>
    <row r="141" spans="1:11" ht="13.5" thickBot="1" x14ac:dyDescent="0.35">
      <c r="B141" s="460"/>
      <c r="C141" s="515" t="s">
        <v>3253</v>
      </c>
      <c r="D141" s="837">
        <f>BONDS_AMOUNT_SOFT_BULLET_EXPIRE_0_1_AN/1000000</f>
        <v>0</v>
      </c>
      <c r="E141" s="621">
        <f>BONDS_AMOUNT_SOFT_BULLET_EXPIRE_1_2_ANS/1000000</f>
        <v>1000</v>
      </c>
      <c r="F141" s="621">
        <f>BONDS_AMOUNT_SOFT_BULLET_EXPIRE_2_3_ANS/1000000</f>
        <v>0</v>
      </c>
      <c r="G141" s="621">
        <f>BONDS_AMOUNT_SOFT_BULLET_EXPIRE_3_4_ANS/1000000</f>
        <v>1250</v>
      </c>
      <c r="H141" s="621">
        <f>BONDS_AMOUNT_SOFT_BULLET_EXPIRE_4_5_ANS/1000000</f>
        <v>750</v>
      </c>
      <c r="I141" s="621">
        <f>BONDS_AMOUNT_SOFT_BULLET_EXPIRE_5_10_ANS/1000000</f>
        <v>500</v>
      </c>
      <c r="J141" s="622">
        <f>BONDS_AMOUNT_SOFT_BULLET_EXPIRE_APRES_10_ANS/1000000</f>
        <v>0</v>
      </c>
    </row>
    <row r="144" spans="1:11" ht="13" x14ac:dyDescent="0.3">
      <c r="A144" s="430" t="s">
        <v>3254</v>
      </c>
      <c r="B144" s="487" t="s">
        <v>3255</v>
      </c>
    </row>
    <row r="145" spans="1:7" ht="13" thickBot="1" x14ac:dyDescent="0.3"/>
    <row r="146" spans="1:7" ht="13.5" thickBot="1" x14ac:dyDescent="0.35">
      <c r="B146" s="623" t="s">
        <v>3256</v>
      </c>
      <c r="C146" s="624" t="s">
        <v>3257</v>
      </c>
      <c r="D146" s="520"/>
      <c r="E146" s="520"/>
      <c r="F146" s="520"/>
      <c r="G146" s="625"/>
    </row>
    <row r="147" spans="1:7" ht="13" x14ac:dyDescent="0.3">
      <c r="B147" s="626"/>
      <c r="C147" s="627"/>
      <c r="D147" s="627"/>
      <c r="E147" s="627"/>
      <c r="F147" s="627"/>
      <c r="G147" s="628"/>
    </row>
    <row r="148" spans="1:7" ht="13.5" thickBot="1" x14ac:dyDescent="0.35">
      <c r="B148" s="626"/>
      <c r="C148" s="627"/>
      <c r="D148" s="627"/>
      <c r="E148" s="627"/>
      <c r="F148" s="627"/>
      <c r="G148" s="628"/>
    </row>
    <row r="149" spans="1:7" ht="13.5" thickBot="1" x14ac:dyDescent="0.35">
      <c r="B149" s="626"/>
      <c r="C149" s="500" t="s">
        <v>656</v>
      </c>
      <c r="D149" s="449" t="s">
        <v>3258</v>
      </c>
      <c r="G149" s="628"/>
    </row>
    <row r="150" spans="1:7" ht="13" x14ac:dyDescent="0.3">
      <c r="B150" s="469" t="s">
        <v>3259</v>
      </c>
      <c r="C150" s="629"/>
      <c r="D150" s="630"/>
      <c r="G150" s="628"/>
    </row>
    <row r="151" spans="1:7" ht="13.5" thickBot="1" x14ac:dyDescent="0.35">
      <c r="B151" s="461" t="s">
        <v>3260</v>
      </c>
      <c r="C151" s="631"/>
      <c r="D151" s="632"/>
      <c r="G151" s="628"/>
    </row>
    <row r="152" spans="1:7" ht="13.5" thickBot="1" x14ac:dyDescent="0.35">
      <c r="B152" s="623" t="s">
        <v>3261</v>
      </c>
      <c r="C152" s="520"/>
      <c r="D152" s="520"/>
      <c r="E152" s="520"/>
      <c r="F152" s="520"/>
      <c r="G152" s="625"/>
    </row>
    <row r="153" spans="1:7" ht="13" x14ac:dyDescent="0.3">
      <c r="B153" s="633"/>
      <c r="C153" s="493"/>
      <c r="D153" s="493"/>
      <c r="E153" s="493"/>
      <c r="F153" s="493"/>
      <c r="G153" s="630"/>
    </row>
    <row r="154" spans="1:7" ht="13.5" thickBot="1" x14ac:dyDescent="0.35">
      <c r="B154" s="626"/>
      <c r="G154" s="446"/>
    </row>
    <row r="155" spans="1:7" ht="13.5" thickBot="1" x14ac:dyDescent="0.35">
      <c r="B155" s="626"/>
      <c r="C155" s="500" t="s">
        <v>656</v>
      </c>
      <c r="D155" s="449" t="s">
        <v>3258</v>
      </c>
      <c r="G155" s="446"/>
    </row>
    <row r="156" spans="1:7" ht="13" x14ac:dyDescent="0.3">
      <c r="B156" s="633" t="s">
        <v>3259</v>
      </c>
      <c r="C156" s="629"/>
      <c r="D156" s="630"/>
      <c r="G156" s="446"/>
    </row>
    <row r="157" spans="1:7" ht="13.5" thickBot="1" x14ac:dyDescent="0.35">
      <c r="B157" s="460" t="s">
        <v>3260</v>
      </c>
      <c r="C157" s="631"/>
      <c r="D157" s="632"/>
      <c r="E157" s="503"/>
      <c r="F157" s="503"/>
      <c r="G157" s="634"/>
    </row>
    <row r="160" spans="1:7" ht="13.5" thickBot="1" x14ac:dyDescent="0.35">
      <c r="A160" s="430" t="s">
        <v>3262</v>
      </c>
      <c r="B160" s="487" t="s">
        <v>3263</v>
      </c>
    </row>
    <row r="161" spans="1:5" ht="13" x14ac:dyDescent="0.3">
      <c r="C161" s="446"/>
      <c r="D161" s="635" t="s">
        <v>3214</v>
      </c>
    </row>
    <row r="162" spans="1:5" ht="13.5" thickBot="1" x14ac:dyDescent="0.35">
      <c r="B162" s="503"/>
      <c r="C162" s="580"/>
      <c r="D162" s="636" t="s">
        <v>3264</v>
      </c>
    </row>
    <row r="163" spans="1:5" ht="13" x14ac:dyDescent="0.3">
      <c r="B163" s="473" t="s">
        <v>3265</v>
      </c>
      <c r="C163" s="474"/>
      <c r="D163" s="508"/>
    </row>
    <row r="164" spans="1:5" ht="13" x14ac:dyDescent="0.3">
      <c r="B164" s="439" t="s">
        <v>3266</v>
      </c>
      <c r="C164" s="510"/>
      <c r="D164" s="512"/>
    </row>
    <row r="165" spans="1:5" ht="13" x14ac:dyDescent="0.3">
      <c r="B165" s="439" t="s">
        <v>3267</v>
      </c>
      <c r="C165" s="510"/>
      <c r="D165" s="512"/>
    </row>
    <row r="166" spans="1:5" ht="13" x14ac:dyDescent="0.3">
      <c r="B166" s="548" t="s">
        <v>3198</v>
      </c>
      <c r="C166" s="456" t="s">
        <v>3268</v>
      </c>
      <c r="D166" s="637">
        <f>PERMITTED_INSTRUMENTS/1000000</f>
        <v>110.84937508</v>
      </c>
    </row>
    <row r="167" spans="1:5" ht="13.5" thickBot="1" x14ac:dyDescent="0.35">
      <c r="B167" s="473"/>
      <c r="C167" s="461" t="s">
        <v>143</v>
      </c>
      <c r="D167" s="607"/>
    </row>
    <row r="168" spans="1:5" ht="13" x14ac:dyDescent="0.3">
      <c r="B168" s="494"/>
      <c r="C168" s="638" t="s">
        <v>3269</v>
      </c>
      <c r="D168" s="639">
        <f>D166</f>
        <v>110.84937508</v>
      </c>
    </row>
    <row r="169" spans="1:5" ht="13.5" thickBot="1" x14ac:dyDescent="0.35">
      <c r="B169" s="441"/>
      <c r="C169" s="640" t="s">
        <v>3270</v>
      </c>
      <c r="D169" s="641">
        <f>IF(E81&lt;&gt;0,D168/E81,"")</f>
        <v>3.1671250022857145E-2</v>
      </c>
    </row>
    <row r="170" spans="1:5" ht="13.5" thickBot="1" x14ac:dyDescent="0.35">
      <c r="B170" s="642"/>
      <c r="C170" s="643"/>
      <c r="D170" s="644"/>
    </row>
    <row r="171" spans="1:5" ht="13.5" thickBot="1" x14ac:dyDescent="0.35">
      <c r="B171" s="494" t="s">
        <v>3271</v>
      </c>
      <c r="C171" s="645"/>
      <c r="D171" s="646"/>
      <c r="E171" s="539" t="s">
        <v>3272</v>
      </c>
    </row>
    <row r="172" spans="1:5" ht="13.5" thickBot="1" x14ac:dyDescent="0.35">
      <c r="B172" s="441"/>
      <c r="C172" s="640" t="s">
        <v>3273</v>
      </c>
      <c r="D172" s="647"/>
      <c r="E172" s="647"/>
    </row>
    <row r="173" spans="1:5" ht="13" x14ac:dyDescent="0.3">
      <c r="B173" s="488"/>
      <c r="C173" s="432"/>
    </row>
    <row r="175" spans="1:5" ht="13" x14ac:dyDescent="0.3">
      <c r="A175" s="430" t="s">
        <v>3274</v>
      </c>
      <c r="B175" s="487" t="s">
        <v>3275</v>
      </c>
    </row>
    <row r="176" spans="1:5" ht="13" thickBot="1" x14ac:dyDescent="0.3"/>
    <row r="177" spans="2:4" ht="13.5" thickBot="1" x14ac:dyDescent="0.35">
      <c r="B177" s="580"/>
      <c r="C177" s="466" t="s">
        <v>3214</v>
      </c>
      <c r="D177" s="539" t="s">
        <v>3258</v>
      </c>
    </row>
    <row r="178" spans="2:4" ht="13" x14ac:dyDescent="0.3">
      <c r="B178" s="626" t="s">
        <v>3276</v>
      </c>
      <c r="C178" s="648"/>
      <c r="D178" s="607"/>
    </row>
    <row r="179" spans="2:4" ht="13" x14ac:dyDescent="0.3">
      <c r="B179" s="455" t="s">
        <v>3277</v>
      </c>
      <c r="C179" s="649"/>
      <c r="D179" s="512"/>
    </row>
    <row r="180" spans="2:4" ht="13.5" thickBot="1" x14ac:dyDescent="0.35">
      <c r="B180" s="626" t="s">
        <v>3278</v>
      </c>
      <c r="C180" s="648"/>
      <c r="D180" s="607"/>
    </row>
    <row r="181" spans="2:4" ht="13.5" thickBot="1" x14ac:dyDescent="0.35">
      <c r="B181" s="519" t="s">
        <v>145</v>
      </c>
      <c r="C181" s="650"/>
      <c r="D181" s="651"/>
    </row>
    <row r="220" spans="2:2" ht="13" x14ac:dyDescent="0.3">
      <c r="B220" s="652"/>
    </row>
  </sheetData>
  <mergeCells count="7">
    <mergeCell ref="E38:F38"/>
    <mergeCell ref="C3:E3"/>
    <mergeCell ref="E10:H10"/>
    <mergeCell ref="E11:H11"/>
    <mergeCell ref="E12:H12"/>
    <mergeCell ref="E36:F36"/>
    <mergeCell ref="E37:F37"/>
  </mergeCells>
  <hyperlinks>
    <hyperlink ref="E38" r:id="rId1" display="http://www.hsbc.fr/1/2/hsbc-france/a-propos-d-hsbc/informations-financieres/hsbc-sfh-france/information" xr:uid="{00000000-0004-0000-0900-000000000000}"/>
    <hyperlink ref="E38:F38" r:id="rId2" display="$http://www.hsbc.fr/1/2/hsbc-france/a-propos-d-hsbc/informations-financieres/hsbc-sfh-france/information" xr:uid="{00000000-0004-0000-0900-000001000000}"/>
    <hyperlink ref="E40" r:id="rId3" display="${overview.financialInformation}" xr:uid="{00000000-0004-0000-0900-000002000000}"/>
    <hyperlink ref="E12" r:id="rId4" display="https://www.hsbc.fr/1/2/hsbc-france/a-propos-d-hsbc/informations-financieres/information-reglementee" xr:uid="{00000000-0004-0000-0900-000003000000}"/>
    <hyperlink ref="E12:H12" r:id="rId5" display="${overview.groupConsolidatedFinancialInformation}" xr:uid="{00000000-0004-0000-0900-000004000000}"/>
  </hyperlinks>
  <pageMargins left="0.70866141732283472" right="0.70866141732283472" top="0.74803149606299213" bottom="0.74803149606299213" header="0.31496062992125984" footer="0.31496062992125984"/>
  <pageSetup paperSize="9" scale="50" orientation="landscape" r:id="rId6"/>
  <headerFooter>
    <oddHeader>&amp;R&amp;G</oddHeader>
    <oddFooter>&amp;C&amp;1#&amp;"Calibri"&amp;10&amp;K000000INTERNE</oddFooter>
  </headerFooter>
  <rowBreaks count="1" manualBreakCount="1">
    <brk id="85" max="16383" man="1"/>
  </rowBreaks>
  <legacy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V192"/>
  <sheetViews>
    <sheetView view="pageBreakPreview" zoomScaleNormal="130" zoomScaleSheetLayoutView="100" workbookViewId="0">
      <selection activeCell="C7" sqref="C7"/>
    </sheetView>
  </sheetViews>
  <sheetFormatPr defaultColWidth="11.453125" defaultRowHeight="12.5" x14ac:dyDescent="0.25"/>
  <cols>
    <col min="1" max="1" width="6" style="430" customWidth="1"/>
    <col min="2" max="2" width="21.1796875" style="431" customWidth="1"/>
    <col min="3" max="3" width="15.26953125" style="431" customWidth="1"/>
    <col min="4" max="4" width="17.453125" style="431" customWidth="1"/>
    <col min="5" max="5" width="14.453125" style="431" customWidth="1"/>
    <col min="6" max="8" width="11.453125" style="431" customWidth="1"/>
    <col min="9" max="9" width="13.1796875" style="431" customWidth="1"/>
    <col min="10" max="10" width="12.1796875" style="431" customWidth="1"/>
    <col min="11" max="11" width="12.54296875" style="431" customWidth="1"/>
    <col min="12" max="12" width="11.453125" style="431"/>
    <col min="13" max="13" width="13" style="431" customWidth="1"/>
    <col min="14" max="19" width="11.453125" style="431"/>
    <col min="20" max="20" width="54.7265625" style="431" bestFit="1" customWidth="1"/>
    <col min="21" max="21" width="19" style="430" bestFit="1" customWidth="1"/>
    <col min="22" max="22" width="11.453125" style="430"/>
    <col min="23" max="254" width="11.453125" style="431"/>
    <col min="255" max="255" width="6" style="431" customWidth="1"/>
    <col min="256" max="256" width="21.1796875" style="431" customWidth="1"/>
    <col min="257" max="257" width="15.26953125" style="431" customWidth="1"/>
    <col min="258" max="258" width="15.453125" style="431" bestFit="1" customWidth="1"/>
    <col min="259" max="259" width="14.453125" style="431" customWidth="1"/>
    <col min="260" max="262" width="11.453125" style="431" customWidth="1"/>
    <col min="263" max="263" width="13.1796875" style="431" customWidth="1"/>
    <col min="264" max="264" width="12.1796875" style="431" customWidth="1"/>
    <col min="265" max="265" width="12.54296875" style="431" customWidth="1"/>
    <col min="266" max="266" width="11.453125" style="431"/>
    <col min="267" max="267" width="13" style="431" customWidth="1"/>
    <col min="268" max="275" width="11.453125" style="431"/>
    <col min="276" max="276" width="54.7265625" style="431" bestFit="1" customWidth="1"/>
    <col min="277" max="277" width="19" style="431" bestFit="1" customWidth="1"/>
    <col min="278" max="510" width="11.453125" style="431"/>
    <col min="511" max="511" width="6" style="431" customWidth="1"/>
    <col min="512" max="512" width="21.1796875" style="431" customWidth="1"/>
    <col min="513" max="513" width="15.26953125" style="431" customWidth="1"/>
    <col min="514" max="514" width="15.453125" style="431" bestFit="1" customWidth="1"/>
    <col min="515" max="515" width="14.453125" style="431" customWidth="1"/>
    <col min="516" max="518" width="11.453125" style="431" customWidth="1"/>
    <col min="519" max="519" width="13.1796875" style="431" customWidth="1"/>
    <col min="520" max="520" width="12.1796875" style="431" customWidth="1"/>
    <col min="521" max="521" width="12.54296875" style="431" customWidth="1"/>
    <col min="522" max="522" width="11.453125" style="431"/>
    <col min="523" max="523" width="13" style="431" customWidth="1"/>
    <col min="524" max="531" width="11.453125" style="431"/>
    <col min="532" max="532" width="54.7265625" style="431" bestFit="1" customWidth="1"/>
    <col min="533" max="533" width="19" style="431" bestFit="1" customWidth="1"/>
    <col min="534" max="766" width="11.453125" style="431"/>
    <col min="767" max="767" width="6" style="431" customWidth="1"/>
    <col min="768" max="768" width="21.1796875" style="431" customWidth="1"/>
    <col min="769" max="769" width="15.26953125" style="431" customWidth="1"/>
    <col min="770" max="770" width="15.453125" style="431" bestFit="1" customWidth="1"/>
    <col min="771" max="771" width="14.453125" style="431" customWidth="1"/>
    <col min="772" max="774" width="11.453125" style="431" customWidth="1"/>
    <col min="775" max="775" width="13.1796875" style="431" customWidth="1"/>
    <col min="776" max="776" width="12.1796875" style="431" customWidth="1"/>
    <col min="777" max="777" width="12.54296875" style="431" customWidth="1"/>
    <col min="778" max="778" width="11.453125" style="431"/>
    <col min="779" max="779" width="13" style="431" customWidth="1"/>
    <col min="780" max="787" width="11.453125" style="431"/>
    <col min="788" max="788" width="54.7265625" style="431" bestFit="1" customWidth="1"/>
    <col min="789" max="789" width="19" style="431" bestFit="1" customWidth="1"/>
    <col min="790" max="1022" width="11.453125" style="431"/>
    <col min="1023" max="1023" width="6" style="431" customWidth="1"/>
    <col min="1024" max="1024" width="21.1796875" style="431" customWidth="1"/>
    <col min="1025" max="1025" width="15.26953125" style="431" customWidth="1"/>
    <col min="1026" max="1026" width="15.453125" style="431" bestFit="1" customWidth="1"/>
    <col min="1027" max="1027" width="14.453125" style="431" customWidth="1"/>
    <col min="1028" max="1030" width="11.453125" style="431" customWidth="1"/>
    <col min="1031" max="1031" width="13.1796875" style="431" customWidth="1"/>
    <col min="1032" max="1032" width="12.1796875" style="431" customWidth="1"/>
    <col min="1033" max="1033" width="12.54296875" style="431" customWidth="1"/>
    <col min="1034" max="1034" width="11.453125" style="431"/>
    <col min="1035" max="1035" width="13" style="431" customWidth="1"/>
    <col min="1036" max="1043" width="11.453125" style="431"/>
    <col min="1044" max="1044" width="54.7265625" style="431" bestFit="1" customWidth="1"/>
    <col min="1045" max="1045" width="19" style="431" bestFit="1" customWidth="1"/>
    <col min="1046" max="1278" width="11.453125" style="431"/>
    <col min="1279" max="1279" width="6" style="431" customWidth="1"/>
    <col min="1280" max="1280" width="21.1796875" style="431" customWidth="1"/>
    <col min="1281" max="1281" width="15.26953125" style="431" customWidth="1"/>
    <col min="1282" max="1282" width="15.453125" style="431" bestFit="1" customWidth="1"/>
    <col min="1283" max="1283" width="14.453125" style="431" customWidth="1"/>
    <col min="1284" max="1286" width="11.453125" style="431" customWidth="1"/>
    <col min="1287" max="1287" width="13.1796875" style="431" customWidth="1"/>
    <col min="1288" max="1288" width="12.1796875" style="431" customWidth="1"/>
    <col min="1289" max="1289" width="12.54296875" style="431" customWidth="1"/>
    <col min="1290" max="1290" width="11.453125" style="431"/>
    <col min="1291" max="1291" width="13" style="431" customWidth="1"/>
    <col min="1292" max="1299" width="11.453125" style="431"/>
    <col min="1300" max="1300" width="54.7265625" style="431" bestFit="1" customWidth="1"/>
    <col min="1301" max="1301" width="19" style="431" bestFit="1" customWidth="1"/>
    <col min="1302" max="1534" width="11.453125" style="431"/>
    <col min="1535" max="1535" width="6" style="431" customWidth="1"/>
    <col min="1536" max="1536" width="21.1796875" style="431" customWidth="1"/>
    <col min="1537" max="1537" width="15.26953125" style="431" customWidth="1"/>
    <col min="1538" max="1538" width="15.453125" style="431" bestFit="1" customWidth="1"/>
    <col min="1539" max="1539" width="14.453125" style="431" customWidth="1"/>
    <col min="1540" max="1542" width="11.453125" style="431" customWidth="1"/>
    <col min="1543" max="1543" width="13.1796875" style="431" customWidth="1"/>
    <col min="1544" max="1544" width="12.1796875" style="431" customWidth="1"/>
    <col min="1545" max="1545" width="12.54296875" style="431" customWidth="1"/>
    <col min="1546" max="1546" width="11.453125" style="431"/>
    <col min="1547" max="1547" width="13" style="431" customWidth="1"/>
    <col min="1548" max="1555" width="11.453125" style="431"/>
    <col min="1556" max="1556" width="54.7265625" style="431" bestFit="1" customWidth="1"/>
    <col min="1557" max="1557" width="19" style="431" bestFit="1" customWidth="1"/>
    <col min="1558" max="1790" width="11.453125" style="431"/>
    <col min="1791" max="1791" width="6" style="431" customWidth="1"/>
    <col min="1792" max="1792" width="21.1796875" style="431" customWidth="1"/>
    <col min="1793" max="1793" width="15.26953125" style="431" customWidth="1"/>
    <col min="1794" max="1794" width="15.453125" style="431" bestFit="1" customWidth="1"/>
    <col min="1795" max="1795" width="14.453125" style="431" customWidth="1"/>
    <col min="1796" max="1798" width="11.453125" style="431" customWidth="1"/>
    <col min="1799" max="1799" width="13.1796875" style="431" customWidth="1"/>
    <col min="1800" max="1800" width="12.1796875" style="431" customWidth="1"/>
    <col min="1801" max="1801" width="12.54296875" style="431" customWidth="1"/>
    <col min="1802" max="1802" width="11.453125" style="431"/>
    <col min="1803" max="1803" width="13" style="431" customWidth="1"/>
    <col min="1804" max="1811" width="11.453125" style="431"/>
    <col min="1812" max="1812" width="54.7265625" style="431" bestFit="1" customWidth="1"/>
    <col min="1813" max="1813" width="19" style="431" bestFit="1" customWidth="1"/>
    <col min="1814" max="2046" width="11.453125" style="431"/>
    <col min="2047" max="2047" width="6" style="431" customWidth="1"/>
    <col min="2048" max="2048" width="21.1796875" style="431" customWidth="1"/>
    <col min="2049" max="2049" width="15.26953125" style="431" customWidth="1"/>
    <col min="2050" max="2050" width="15.453125" style="431" bestFit="1" customWidth="1"/>
    <col min="2051" max="2051" width="14.453125" style="431" customWidth="1"/>
    <col min="2052" max="2054" width="11.453125" style="431" customWidth="1"/>
    <col min="2055" max="2055" width="13.1796875" style="431" customWidth="1"/>
    <col min="2056" max="2056" width="12.1796875" style="431" customWidth="1"/>
    <col min="2057" max="2057" width="12.54296875" style="431" customWidth="1"/>
    <col min="2058" max="2058" width="11.453125" style="431"/>
    <col min="2059" max="2059" width="13" style="431" customWidth="1"/>
    <col min="2060" max="2067" width="11.453125" style="431"/>
    <col min="2068" max="2068" width="54.7265625" style="431" bestFit="1" customWidth="1"/>
    <col min="2069" max="2069" width="19" style="431" bestFit="1" customWidth="1"/>
    <col min="2070" max="2302" width="11.453125" style="431"/>
    <col min="2303" max="2303" width="6" style="431" customWidth="1"/>
    <col min="2304" max="2304" width="21.1796875" style="431" customWidth="1"/>
    <col min="2305" max="2305" width="15.26953125" style="431" customWidth="1"/>
    <col min="2306" max="2306" width="15.453125" style="431" bestFit="1" customWidth="1"/>
    <col min="2307" max="2307" width="14.453125" style="431" customWidth="1"/>
    <col min="2308" max="2310" width="11.453125" style="431" customWidth="1"/>
    <col min="2311" max="2311" width="13.1796875" style="431" customWidth="1"/>
    <col min="2312" max="2312" width="12.1796875" style="431" customWidth="1"/>
    <col min="2313" max="2313" width="12.54296875" style="431" customWidth="1"/>
    <col min="2314" max="2314" width="11.453125" style="431"/>
    <col min="2315" max="2315" width="13" style="431" customWidth="1"/>
    <col min="2316" max="2323" width="11.453125" style="431"/>
    <col min="2324" max="2324" width="54.7265625" style="431" bestFit="1" customWidth="1"/>
    <col min="2325" max="2325" width="19" style="431" bestFit="1" customWidth="1"/>
    <col min="2326" max="2558" width="11.453125" style="431"/>
    <col min="2559" max="2559" width="6" style="431" customWidth="1"/>
    <col min="2560" max="2560" width="21.1796875" style="431" customWidth="1"/>
    <col min="2561" max="2561" width="15.26953125" style="431" customWidth="1"/>
    <col min="2562" max="2562" width="15.453125" style="431" bestFit="1" customWidth="1"/>
    <col min="2563" max="2563" width="14.453125" style="431" customWidth="1"/>
    <col min="2564" max="2566" width="11.453125" style="431" customWidth="1"/>
    <col min="2567" max="2567" width="13.1796875" style="431" customWidth="1"/>
    <col min="2568" max="2568" width="12.1796875" style="431" customWidth="1"/>
    <col min="2569" max="2569" width="12.54296875" style="431" customWidth="1"/>
    <col min="2570" max="2570" width="11.453125" style="431"/>
    <col min="2571" max="2571" width="13" style="431" customWidth="1"/>
    <col min="2572" max="2579" width="11.453125" style="431"/>
    <col min="2580" max="2580" width="54.7265625" style="431" bestFit="1" customWidth="1"/>
    <col min="2581" max="2581" width="19" style="431" bestFit="1" customWidth="1"/>
    <col min="2582" max="2814" width="11.453125" style="431"/>
    <col min="2815" max="2815" width="6" style="431" customWidth="1"/>
    <col min="2816" max="2816" width="21.1796875" style="431" customWidth="1"/>
    <col min="2817" max="2817" width="15.26953125" style="431" customWidth="1"/>
    <col min="2818" max="2818" width="15.453125" style="431" bestFit="1" customWidth="1"/>
    <col min="2819" max="2819" width="14.453125" style="431" customWidth="1"/>
    <col min="2820" max="2822" width="11.453125" style="431" customWidth="1"/>
    <col min="2823" max="2823" width="13.1796875" style="431" customWidth="1"/>
    <col min="2824" max="2824" width="12.1796875" style="431" customWidth="1"/>
    <col min="2825" max="2825" width="12.54296875" style="431" customWidth="1"/>
    <col min="2826" max="2826" width="11.453125" style="431"/>
    <col min="2827" max="2827" width="13" style="431" customWidth="1"/>
    <col min="2828" max="2835" width="11.453125" style="431"/>
    <col min="2836" max="2836" width="54.7265625" style="431" bestFit="1" customWidth="1"/>
    <col min="2837" max="2837" width="19" style="431" bestFit="1" customWidth="1"/>
    <col min="2838" max="3070" width="11.453125" style="431"/>
    <col min="3071" max="3071" width="6" style="431" customWidth="1"/>
    <col min="3072" max="3072" width="21.1796875" style="431" customWidth="1"/>
    <col min="3073" max="3073" width="15.26953125" style="431" customWidth="1"/>
    <col min="3074" max="3074" width="15.453125" style="431" bestFit="1" customWidth="1"/>
    <col min="3075" max="3075" width="14.453125" style="431" customWidth="1"/>
    <col min="3076" max="3078" width="11.453125" style="431" customWidth="1"/>
    <col min="3079" max="3079" width="13.1796875" style="431" customWidth="1"/>
    <col min="3080" max="3080" width="12.1796875" style="431" customWidth="1"/>
    <col min="3081" max="3081" width="12.54296875" style="431" customWidth="1"/>
    <col min="3082" max="3082" width="11.453125" style="431"/>
    <col min="3083" max="3083" width="13" style="431" customWidth="1"/>
    <col min="3084" max="3091" width="11.453125" style="431"/>
    <col min="3092" max="3092" width="54.7265625" style="431" bestFit="1" customWidth="1"/>
    <col min="3093" max="3093" width="19" style="431" bestFit="1" customWidth="1"/>
    <col min="3094" max="3326" width="11.453125" style="431"/>
    <col min="3327" max="3327" width="6" style="431" customWidth="1"/>
    <col min="3328" max="3328" width="21.1796875" style="431" customWidth="1"/>
    <col min="3329" max="3329" width="15.26953125" style="431" customWidth="1"/>
    <col min="3330" max="3330" width="15.453125" style="431" bestFit="1" customWidth="1"/>
    <col min="3331" max="3331" width="14.453125" style="431" customWidth="1"/>
    <col min="3332" max="3334" width="11.453125" style="431" customWidth="1"/>
    <col min="3335" max="3335" width="13.1796875" style="431" customWidth="1"/>
    <col min="3336" max="3336" width="12.1796875" style="431" customWidth="1"/>
    <col min="3337" max="3337" width="12.54296875" style="431" customWidth="1"/>
    <col min="3338" max="3338" width="11.453125" style="431"/>
    <col min="3339" max="3339" width="13" style="431" customWidth="1"/>
    <col min="3340" max="3347" width="11.453125" style="431"/>
    <col min="3348" max="3348" width="54.7265625" style="431" bestFit="1" customWidth="1"/>
    <col min="3349" max="3349" width="19" style="431" bestFit="1" customWidth="1"/>
    <col min="3350" max="3582" width="11.453125" style="431"/>
    <col min="3583" max="3583" width="6" style="431" customWidth="1"/>
    <col min="3584" max="3584" width="21.1796875" style="431" customWidth="1"/>
    <col min="3585" max="3585" width="15.26953125" style="431" customWidth="1"/>
    <col min="3586" max="3586" width="15.453125" style="431" bestFit="1" customWidth="1"/>
    <col min="3587" max="3587" width="14.453125" style="431" customWidth="1"/>
    <col min="3588" max="3590" width="11.453125" style="431" customWidth="1"/>
    <col min="3591" max="3591" width="13.1796875" style="431" customWidth="1"/>
    <col min="3592" max="3592" width="12.1796875" style="431" customWidth="1"/>
    <col min="3593" max="3593" width="12.54296875" style="431" customWidth="1"/>
    <col min="3594" max="3594" width="11.453125" style="431"/>
    <col min="3595" max="3595" width="13" style="431" customWidth="1"/>
    <col min="3596" max="3603" width="11.453125" style="431"/>
    <col min="3604" max="3604" width="54.7265625" style="431" bestFit="1" customWidth="1"/>
    <col min="3605" max="3605" width="19" style="431" bestFit="1" customWidth="1"/>
    <col min="3606" max="3838" width="11.453125" style="431"/>
    <col min="3839" max="3839" width="6" style="431" customWidth="1"/>
    <col min="3840" max="3840" width="21.1796875" style="431" customWidth="1"/>
    <col min="3841" max="3841" width="15.26953125" style="431" customWidth="1"/>
    <col min="3842" max="3842" width="15.453125" style="431" bestFit="1" customWidth="1"/>
    <col min="3843" max="3843" width="14.453125" style="431" customWidth="1"/>
    <col min="3844" max="3846" width="11.453125" style="431" customWidth="1"/>
    <col min="3847" max="3847" width="13.1796875" style="431" customWidth="1"/>
    <col min="3848" max="3848" width="12.1796875" style="431" customWidth="1"/>
    <col min="3849" max="3849" width="12.54296875" style="431" customWidth="1"/>
    <col min="3850" max="3850" width="11.453125" style="431"/>
    <col min="3851" max="3851" width="13" style="431" customWidth="1"/>
    <col min="3852" max="3859" width="11.453125" style="431"/>
    <col min="3860" max="3860" width="54.7265625" style="431" bestFit="1" customWidth="1"/>
    <col min="3861" max="3861" width="19" style="431" bestFit="1" customWidth="1"/>
    <col min="3862" max="4094" width="11.453125" style="431"/>
    <col min="4095" max="4095" width="6" style="431" customWidth="1"/>
    <col min="4096" max="4096" width="21.1796875" style="431" customWidth="1"/>
    <col min="4097" max="4097" width="15.26953125" style="431" customWidth="1"/>
    <col min="4098" max="4098" width="15.453125" style="431" bestFit="1" customWidth="1"/>
    <col min="4099" max="4099" width="14.453125" style="431" customWidth="1"/>
    <col min="4100" max="4102" width="11.453125" style="431" customWidth="1"/>
    <col min="4103" max="4103" width="13.1796875" style="431" customWidth="1"/>
    <col min="4104" max="4104" width="12.1796875" style="431" customWidth="1"/>
    <col min="4105" max="4105" width="12.54296875" style="431" customWidth="1"/>
    <col min="4106" max="4106" width="11.453125" style="431"/>
    <col min="4107" max="4107" width="13" style="431" customWidth="1"/>
    <col min="4108" max="4115" width="11.453125" style="431"/>
    <col min="4116" max="4116" width="54.7265625" style="431" bestFit="1" customWidth="1"/>
    <col min="4117" max="4117" width="19" style="431" bestFit="1" customWidth="1"/>
    <col min="4118" max="4350" width="11.453125" style="431"/>
    <col min="4351" max="4351" width="6" style="431" customWidth="1"/>
    <col min="4352" max="4352" width="21.1796875" style="431" customWidth="1"/>
    <col min="4353" max="4353" width="15.26953125" style="431" customWidth="1"/>
    <col min="4354" max="4354" width="15.453125" style="431" bestFit="1" customWidth="1"/>
    <col min="4355" max="4355" width="14.453125" style="431" customWidth="1"/>
    <col min="4356" max="4358" width="11.453125" style="431" customWidth="1"/>
    <col min="4359" max="4359" width="13.1796875" style="431" customWidth="1"/>
    <col min="4360" max="4360" width="12.1796875" style="431" customWidth="1"/>
    <col min="4361" max="4361" width="12.54296875" style="431" customWidth="1"/>
    <col min="4362" max="4362" width="11.453125" style="431"/>
    <col min="4363" max="4363" width="13" style="431" customWidth="1"/>
    <col min="4364" max="4371" width="11.453125" style="431"/>
    <col min="4372" max="4372" width="54.7265625" style="431" bestFit="1" customWidth="1"/>
    <col min="4373" max="4373" width="19" style="431" bestFit="1" customWidth="1"/>
    <col min="4374" max="4606" width="11.453125" style="431"/>
    <col min="4607" max="4607" width="6" style="431" customWidth="1"/>
    <col min="4608" max="4608" width="21.1796875" style="431" customWidth="1"/>
    <col min="4609" max="4609" width="15.26953125" style="431" customWidth="1"/>
    <col min="4610" max="4610" width="15.453125" style="431" bestFit="1" customWidth="1"/>
    <col min="4611" max="4611" width="14.453125" style="431" customWidth="1"/>
    <col min="4612" max="4614" width="11.453125" style="431" customWidth="1"/>
    <col min="4615" max="4615" width="13.1796875" style="431" customWidth="1"/>
    <col min="4616" max="4616" width="12.1796875" style="431" customWidth="1"/>
    <col min="4617" max="4617" width="12.54296875" style="431" customWidth="1"/>
    <col min="4618" max="4618" width="11.453125" style="431"/>
    <col min="4619" max="4619" width="13" style="431" customWidth="1"/>
    <col min="4620" max="4627" width="11.453125" style="431"/>
    <col min="4628" max="4628" width="54.7265625" style="431" bestFit="1" customWidth="1"/>
    <col min="4629" max="4629" width="19" style="431" bestFit="1" customWidth="1"/>
    <col min="4630" max="4862" width="11.453125" style="431"/>
    <col min="4863" max="4863" width="6" style="431" customWidth="1"/>
    <col min="4864" max="4864" width="21.1796875" style="431" customWidth="1"/>
    <col min="4865" max="4865" width="15.26953125" style="431" customWidth="1"/>
    <col min="4866" max="4866" width="15.453125" style="431" bestFit="1" customWidth="1"/>
    <col min="4867" max="4867" width="14.453125" style="431" customWidth="1"/>
    <col min="4868" max="4870" width="11.453125" style="431" customWidth="1"/>
    <col min="4871" max="4871" width="13.1796875" style="431" customWidth="1"/>
    <col min="4872" max="4872" width="12.1796875" style="431" customWidth="1"/>
    <col min="4873" max="4873" width="12.54296875" style="431" customWidth="1"/>
    <col min="4874" max="4874" width="11.453125" style="431"/>
    <col min="4875" max="4875" width="13" style="431" customWidth="1"/>
    <col min="4876" max="4883" width="11.453125" style="431"/>
    <col min="4884" max="4884" width="54.7265625" style="431" bestFit="1" customWidth="1"/>
    <col min="4885" max="4885" width="19" style="431" bestFit="1" customWidth="1"/>
    <col min="4886" max="5118" width="11.453125" style="431"/>
    <col min="5119" max="5119" width="6" style="431" customWidth="1"/>
    <col min="5120" max="5120" width="21.1796875" style="431" customWidth="1"/>
    <col min="5121" max="5121" width="15.26953125" style="431" customWidth="1"/>
    <col min="5122" max="5122" width="15.453125" style="431" bestFit="1" customWidth="1"/>
    <col min="5123" max="5123" width="14.453125" style="431" customWidth="1"/>
    <col min="5124" max="5126" width="11.453125" style="431" customWidth="1"/>
    <col min="5127" max="5127" width="13.1796875" style="431" customWidth="1"/>
    <col min="5128" max="5128" width="12.1796875" style="431" customWidth="1"/>
    <col min="5129" max="5129" width="12.54296875" style="431" customWidth="1"/>
    <col min="5130" max="5130" width="11.453125" style="431"/>
    <col min="5131" max="5131" width="13" style="431" customWidth="1"/>
    <col min="5132" max="5139" width="11.453125" style="431"/>
    <col min="5140" max="5140" width="54.7265625" style="431" bestFit="1" customWidth="1"/>
    <col min="5141" max="5141" width="19" style="431" bestFit="1" customWidth="1"/>
    <col min="5142" max="5374" width="11.453125" style="431"/>
    <col min="5375" max="5375" width="6" style="431" customWidth="1"/>
    <col min="5376" max="5376" width="21.1796875" style="431" customWidth="1"/>
    <col min="5377" max="5377" width="15.26953125" style="431" customWidth="1"/>
    <col min="5378" max="5378" width="15.453125" style="431" bestFit="1" customWidth="1"/>
    <col min="5379" max="5379" width="14.453125" style="431" customWidth="1"/>
    <col min="5380" max="5382" width="11.453125" style="431" customWidth="1"/>
    <col min="5383" max="5383" width="13.1796875" style="431" customWidth="1"/>
    <col min="5384" max="5384" width="12.1796875" style="431" customWidth="1"/>
    <col min="5385" max="5385" width="12.54296875" style="431" customWidth="1"/>
    <col min="5386" max="5386" width="11.453125" style="431"/>
    <col min="5387" max="5387" width="13" style="431" customWidth="1"/>
    <col min="5388" max="5395" width="11.453125" style="431"/>
    <col min="5396" max="5396" width="54.7265625" style="431" bestFit="1" customWidth="1"/>
    <col min="5397" max="5397" width="19" style="431" bestFit="1" customWidth="1"/>
    <col min="5398" max="5630" width="11.453125" style="431"/>
    <col min="5631" max="5631" width="6" style="431" customWidth="1"/>
    <col min="5632" max="5632" width="21.1796875" style="431" customWidth="1"/>
    <col min="5633" max="5633" width="15.26953125" style="431" customWidth="1"/>
    <col min="5634" max="5634" width="15.453125" style="431" bestFit="1" customWidth="1"/>
    <col min="5635" max="5635" width="14.453125" style="431" customWidth="1"/>
    <col min="5636" max="5638" width="11.453125" style="431" customWidth="1"/>
    <col min="5639" max="5639" width="13.1796875" style="431" customWidth="1"/>
    <col min="5640" max="5640" width="12.1796875" style="431" customWidth="1"/>
    <col min="5641" max="5641" width="12.54296875" style="431" customWidth="1"/>
    <col min="5642" max="5642" width="11.453125" style="431"/>
    <col min="5643" max="5643" width="13" style="431" customWidth="1"/>
    <col min="5644" max="5651" width="11.453125" style="431"/>
    <col min="5652" max="5652" width="54.7265625" style="431" bestFit="1" customWidth="1"/>
    <col min="5653" max="5653" width="19" style="431" bestFit="1" customWidth="1"/>
    <col min="5654" max="5886" width="11.453125" style="431"/>
    <col min="5887" max="5887" width="6" style="431" customWidth="1"/>
    <col min="5888" max="5888" width="21.1796875" style="431" customWidth="1"/>
    <col min="5889" max="5889" width="15.26953125" style="431" customWidth="1"/>
    <col min="5890" max="5890" width="15.453125" style="431" bestFit="1" customWidth="1"/>
    <col min="5891" max="5891" width="14.453125" style="431" customWidth="1"/>
    <col min="5892" max="5894" width="11.453125" style="431" customWidth="1"/>
    <col min="5895" max="5895" width="13.1796875" style="431" customWidth="1"/>
    <col min="5896" max="5896" width="12.1796875" style="431" customWidth="1"/>
    <col min="5897" max="5897" width="12.54296875" style="431" customWidth="1"/>
    <col min="5898" max="5898" width="11.453125" style="431"/>
    <col min="5899" max="5899" width="13" style="431" customWidth="1"/>
    <col min="5900" max="5907" width="11.453125" style="431"/>
    <col min="5908" max="5908" width="54.7265625" style="431" bestFit="1" customWidth="1"/>
    <col min="5909" max="5909" width="19" style="431" bestFit="1" customWidth="1"/>
    <col min="5910" max="6142" width="11.453125" style="431"/>
    <col min="6143" max="6143" width="6" style="431" customWidth="1"/>
    <col min="6144" max="6144" width="21.1796875" style="431" customWidth="1"/>
    <col min="6145" max="6145" width="15.26953125" style="431" customWidth="1"/>
    <col min="6146" max="6146" width="15.453125" style="431" bestFit="1" customWidth="1"/>
    <col min="6147" max="6147" width="14.453125" style="431" customWidth="1"/>
    <col min="6148" max="6150" width="11.453125" style="431" customWidth="1"/>
    <col min="6151" max="6151" width="13.1796875" style="431" customWidth="1"/>
    <col min="6152" max="6152" width="12.1796875" style="431" customWidth="1"/>
    <col min="6153" max="6153" width="12.54296875" style="431" customWidth="1"/>
    <col min="6154" max="6154" width="11.453125" style="431"/>
    <col min="6155" max="6155" width="13" style="431" customWidth="1"/>
    <col min="6156" max="6163" width="11.453125" style="431"/>
    <col min="6164" max="6164" width="54.7265625" style="431" bestFit="1" customWidth="1"/>
    <col min="6165" max="6165" width="19" style="431" bestFit="1" customWidth="1"/>
    <col min="6166" max="6398" width="11.453125" style="431"/>
    <col min="6399" max="6399" width="6" style="431" customWidth="1"/>
    <col min="6400" max="6400" width="21.1796875" style="431" customWidth="1"/>
    <col min="6401" max="6401" width="15.26953125" style="431" customWidth="1"/>
    <col min="6402" max="6402" width="15.453125" style="431" bestFit="1" customWidth="1"/>
    <col min="6403" max="6403" width="14.453125" style="431" customWidth="1"/>
    <col min="6404" max="6406" width="11.453125" style="431" customWidth="1"/>
    <col min="6407" max="6407" width="13.1796875" style="431" customWidth="1"/>
    <col min="6408" max="6408" width="12.1796875" style="431" customWidth="1"/>
    <col min="6409" max="6409" width="12.54296875" style="431" customWidth="1"/>
    <col min="6410" max="6410" width="11.453125" style="431"/>
    <col min="6411" max="6411" width="13" style="431" customWidth="1"/>
    <col min="6412" max="6419" width="11.453125" style="431"/>
    <col min="6420" max="6420" width="54.7265625" style="431" bestFit="1" customWidth="1"/>
    <col min="6421" max="6421" width="19" style="431" bestFit="1" customWidth="1"/>
    <col min="6422" max="6654" width="11.453125" style="431"/>
    <col min="6655" max="6655" width="6" style="431" customWidth="1"/>
    <col min="6656" max="6656" width="21.1796875" style="431" customWidth="1"/>
    <col min="6657" max="6657" width="15.26953125" style="431" customWidth="1"/>
    <col min="6658" max="6658" width="15.453125" style="431" bestFit="1" customWidth="1"/>
    <col min="6659" max="6659" width="14.453125" style="431" customWidth="1"/>
    <col min="6660" max="6662" width="11.453125" style="431" customWidth="1"/>
    <col min="6663" max="6663" width="13.1796875" style="431" customWidth="1"/>
    <col min="6664" max="6664" width="12.1796875" style="431" customWidth="1"/>
    <col min="6665" max="6665" width="12.54296875" style="431" customWidth="1"/>
    <col min="6666" max="6666" width="11.453125" style="431"/>
    <col min="6667" max="6667" width="13" style="431" customWidth="1"/>
    <col min="6668" max="6675" width="11.453125" style="431"/>
    <col min="6676" max="6676" width="54.7265625" style="431" bestFit="1" customWidth="1"/>
    <col min="6677" max="6677" width="19" style="431" bestFit="1" customWidth="1"/>
    <col min="6678" max="6910" width="11.453125" style="431"/>
    <col min="6911" max="6911" width="6" style="431" customWidth="1"/>
    <col min="6912" max="6912" width="21.1796875" style="431" customWidth="1"/>
    <col min="6913" max="6913" width="15.26953125" style="431" customWidth="1"/>
    <col min="6914" max="6914" width="15.453125" style="431" bestFit="1" customWidth="1"/>
    <col min="6915" max="6915" width="14.453125" style="431" customWidth="1"/>
    <col min="6916" max="6918" width="11.453125" style="431" customWidth="1"/>
    <col min="6919" max="6919" width="13.1796875" style="431" customWidth="1"/>
    <col min="6920" max="6920" width="12.1796875" style="431" customWidth="1"/>
    <col min="6921" max="6921" width="12.54296875" style="431" customWidth="1"/>
    <col min="6922" max="6922" width="11.453125" style="431"/>
    <col min="6923" max="6923" width="13" style="431" customWidth="1"/>
    <col min="6924" max="6931" width="11.453125" style="431"/>
    <col min="6932" max="6932" width="54.7265625" style="431" bestFit="1" customWidth="1"/>
    <col min="6933" max="6933" width="19" style="431" bestFit="1" customWidth="1"/>
    <col min="6934" max="7166" width="11.453125" style="431"/>
    <col min="7167" max="7167" width="6" style="431" customWidth="1"/>
    <col min="7168" max="7168" width="21.1796875" style="431" customWidth="1"/>
    <col min="7169" max="7169" width="15.26953125" style="431" customWidth="1"/>
    <col min="7170" max="7170" width="15.453125" style="431" bestFit="1" customWidth="1"/>
    <col min="7171" max="7171" width="14.453125" style="431" customWidth="1"/>
    <col min="7172" max="7174" width="11.453125" style="431" customWidth="1"/>
    <col min="7175" max="7175" width="13.1796875" style="431" customWidth="1"/>
    <col min="7176" max="7176" width="12.1796875" style="431" customWidth="1"/>
    <col min="7177" max="7177" width="12.54296875" style="431" customWidth="1"/>
    <col min="7178" max="7178" width="11.453125" style="431"/>
    <col min="7179" max="7179" width="13" style="431" customWidth="1"/>
    <col min="7180" max="7187" width="11.453125" style="431"/>
    <col min="7188" max="7188" width="54.7265625" style="431" bestFit="1" customWidth="1"/>
    <col min="7189" max="7189" width="19" style="431" bestFit="1" customWidth="1"/>
    <col min="7190" max="7422" width="11.453125" style="431"/>
    <col min="7423" max="7423" width="6" style="431" customWidth="1"/>
    <col min="7424" max="7424" width="21.1796875" style="431" customWidth="1"/>
    <col min="7425" max="7425" width="15.26953125" style="431" customWidth="1"/>
    <col min="7426" max="7426" width="15.453125" style="431" bestFit="1" customWidth="1"/>
    <col min="7427" max="7427" width="14.453125" style="431" customWidth="1"/>
    <col min="7428" max="7430" width="11.453125" style="431" customWidth="1"/>
    <col min="7431" max="7431" width="13.1796875" style="431" customWidth="1"/>
    <col min="7432" max="7432" width="12.1796875" style="431" customWidth="1"/>
    <col min="7433" max="7433" width="12.54296875" style="431" customWidth="1"/>
    <col min="7434" max="7434" width="11.453125" style="431"/>
    <col min="7435" max="7435" width="13" style="431" customWidth="1"/>
    <col min="7436" max="7443" width="11.453125" style="431"/>
    <col min="7444" max="7444" width="54.7265625" style="431" bestFit="1" customWidth="1"/>
    <col min="7445" max="7445" width="19" style="431" bestFit="1" customWidth="1"/>
    <col min="7446" max="7678" width="11.453125" style="431"/>
    <col min="7679" max="7679" width="6" style="431" customWidth="1"/>
    <col min="7680" max="7680" width="21.1796875" style="431" customWidth="1"/>
    <col min="7681" max="7681" width="15.26953125" style="431" customWidth="1"/>
    <col min="7682" max="7682" width="15.453125" style="431" bestFit="1" customWidth="1"/>
    <col min="7683" max="7683" width="14.453125" style="431" customWidth="1"/>
    <col min="7684" max="7686" width="11.453125" style="431" customWidth="1"/>
    <col min="7687" max="7687" width="13.1796875" style="431" customWidth="1"/>
    <col min="7688" max="7688" width="12.1796875" style="431" customWidth="1"/>
    <col min="7689" max="7689" width="12.54296875" style="431" customWidth="1"/>
    <col min="7690" max="7690" width="11.453125" style="431"/>
    <col min="7691" max="7691" width="13" style="431" customWidth="1"/>
    <col min="7692" max="7699" width="11.453125" style="431"/>
    <col min="7700" max="7700" width="54.7265625" style="431" bestFit="1" customWidth="1"/>
    <col min="7701" max="7701" width="19" style="431" bestFit="1" customWidth="1"/>
    <col min="7702" max="7934" width="11.453125" style="431"/>
    <col min="7935" max="7935" width="6" style="431" customWidth="1"/>
    <col min="7936" max="7936" width="21.1796875" style="431" customWidth="1"/>
    <col min="7937" max="7937" width="15.26953125" style="431" customWidth="1"/>
    <col min="7938" max="7938" width="15.453125" style="431" bestFit="1" customWidth="1"/>
    <col min="7939" max="7939" width="14.453125" style="431" customWidth="1"/>
    <col min="7940" max="7942" width="11.453125" style="431" customWidth="1"/>
    <col min="7943" max="7943" width="13.1796875" style="431" customWidth="1"/>
    <col min="7944" max="7944" width="12.1796875" style="431" customWidth="1"/>
    <col min="7945" max="7945" width="12.54296875" style="431" customWidth="1"/>
    <col min="7946" max="7946" width="11.453125" style="431"/>
    <col min="7947" max="7947" width="13" style="431" customWidth="1"/>
    <col min="7948" max="7955" width="11.453125" style="431"/>
    <col min="7956" max="7956" width="54.7265625" style="431" bestFit="1" customWidth="1"/>
    <col min="7957" max="7957" width="19" style="431" bestFit="1" customWidth="1"/>
    <col min="7958" max="8190" width="11.453125" style="431"/>
    <col min="8191" max="8191" width="6" style="431" customWidth="1"/>
    <col min="8192" max="8192" width="21.1796875" style="431" customWidth="1"/>
    <col min="8193" max="8193" width="15.26953125" style="431" customWidth="1"/>
    <col min="8194" max="8194" width="15.453125" style="431" bestFit="1" customWidth="1"/>
    <col min="8195" max="8195" width="14.453125" style="431" customWidth="1"/>
    <col min="8196" max="8198" width="11.453125" style="431" customWidth="1"/>
    <col min="8199" max="8199" width="13.1796875" style="431" customWidth="1"/>
    <col min="8200" max="8200" width="12.1796875" style="431" customWidth="1"/>
    <col min="8201" max="8201" width="12.54296875" style="431" customWidth="1"/>
    <col min="8202" max="8202" width="11.453125" style="431"/>
    <col min="8203" max="8203" width="13" style="431" customWidth="1"/>
    <col min="8204" max="8211" width="11.453125" style="431"/>
    <col min="8212" max="8212" width="54.7265625" style="431" bestFit="1" customWidth="1"/>
    <col min="8213" max="8213" width="19" style="431" bestFit="1" customWidth="1"/>
    <col min="8214" max="8446" width="11.453125" style="431"/>
    <col min="8447" max="8447" width="6" style="431" customWidth="1"/>
    <col min="8448" max="8448" width="21.1796875" style="431" customWidth="1"/>
    <col min="8449" max="8449" width="15.26953125" style="431" customWidth="1"/>
    <col min="8450" max="8450" width="15.453125" style="431" bestFit="1" customWidth="1"/>
    <col min="8451" max="8451" width="14.453125" style="431" customWidth="1"/>
    <col min="8452" max="8454" width="11.453125" style="431" customWidth="1"/>
    <col min="8455" max="8455" width="13.1796875" style="431" customWidth="1"/>
    <col min="8456" max="8456" width="12.1796875" style="431" customWidth="1"/>
    <col min="8457" max="8457" width="12.54296875" style="431" customWidth="1"/>
    <col min="8458" max="8458" width="11.453125" style="431"/>
    <col min="8459" max="8459" width="13" style="431" customWidth="1"/>
    <col min="8460" max="8467" width="11.453125" style="431"/>
    <col min="8468" max="8468" width="54.7265625" style="431" bestFit="1" customWidth="1"/>
    <col min="8469" max="8469" width="19" style="431" bestFit="1" customWidth="1"/>
    <col min="8470" max="8702" width="11.453125" style="431"/>
    <col min="8703" max="8703" width="6" style="431" customWidth="1"/>
    <col min="8704" max="8704" width="21.1796875" style="431" customWidth="1"/>
    <col min="8705" max="8705" width="15.26953125" style="431" customWidth="1"/>
    <col min="8706" max="8706" width="15.453125" style="431" bestFit="1" customWidth="1"/>
    <col min="8707" max="8707" width="14.453125" style="431" customWidth="1"/>
    <col min="8708" max="8710" width="11.453125" style="431" customWidth="1"/>
    <col min="8711" max="8711" width="13.1796875" style="431" customWidth="1"/>
    <col min="8712" max="8712" width="12.1796875" style="431" customWidth="1"/>
    <col min="8713" max="8713" width="12.54296875" style="431" customWidth="1"/>
    <col min="8714" max="8714" width="11.453125" style="431"/>
    <col min="8715" max="8715" width="13" style="431" customWidth="1"/>
    <col min="8716" max="8723" width="11.453125" style="431"/>
    <col min="8724" max="8724" width="54.7265625" style="431" bestFit="1" customWidth="1"/>
    <col min="8725" max="8725" width="19" style="431" bestFit="1" customWidth="1"/>
    <col min="8726" max="8958" width="11.453125" style="431"/>
    <col min="8959" max="8959" width="6" style="431" customWidth="1"/>
    <col min="8960" max="8960" width="21.1796875" style="431" customWidth="1"/>
    <col min="8961" max="8961" width="15.26953125" style="431" customWidth="1"/>
    <col min="8962" max="8962" width="15.453125" style="431" bestFit="1" customWidth="1"/>
    <col min="8963" max="8963" width="14.453125" style="431" customWidth="1"/>
    <col min="8964" max="8966" width="11.453125" style="431" customWidth="1"/>
    <col min="8967" max="8967" width="13.1796875" style="431" customWidth="1"/>
    <col min="8968" max="8968" width="12.1796875" style="431" customWidth="1"/>
    <col min="8969" max="8969" width="12.54296875" style="431" customWidth="1"/>
    <col min="8970" max="8970" width="11.453125" style="431"/>
    <col min="8971" max="8971" width="13" style="431" customWidth="1"/>
    <col min="8972" max="8979" width="11.453125" style="431"/>
    <col min="8980" max="8980" width="54.7265625" style="431" bestFit="1" customWidth="1"/>
    <col min="8981" max="8981" width="19" style="431" bestFit="1" customWidth="1"/>
    <col min="8982" max="9214" width="11.453125" style="431"/>
    <col min="9215" max="9215" width="6" style="431" customWidth="1"/>
    <col min="9216" max="9216" width="21.1796875" style="431" customWidth="1"/>
    <col min="9217" max="9217" width="15.26953125" style="431" customWidth="1"/>
    <col min="9218" max="9218" width="15.453125" style="431" bestFit="1" customWidth="1"/>
    <col min="9219" max="9219" width="14.453125" style="431" customWidth="1"/>
    <col min="9220" max="9222" width="11.453125" style="431" customWidth="1"/>
    <col min="9223" max="9223" width="13.1796875" style="431" customWidth="1"/>
    <col min="9224" max="9224" width="12.1796875" style="431" customWidth="1"/>
    <col min="9225" max="9225" width="12.54296875" style="431" customWidth="1"/>
    <col min="9226" max="9226" width="11.453125" style="431"/>
    <col min="9227" max="9227" width="13" style="431" customWidth="1"/>
    <col min="9228" max="9235" width="11.453125" style="431"/>
    <col min="9236" max="9236" width="54.7265625" style="431" bestFit="1" customWidth="1"/>
    <col min="9237" max="9237" width="19" style="431" bestFit="1" customWidth="1"/>
    <col min="9238" max="9470" width="11.453125" style="431"/>
    <col min="9471" max="9471" width="6" style="431" customWidth="1"/>
    <col min="9472" max="9472" width="21.1796875" style="431" customWidth="1"/>
    <col min="9473" max="9473" width="15.26953125" style="431" customWidth="1"/>
    <col min="9474" max="9474" width="15.453125" style="431" bestFit="1" customWidth="1"/>
    <col min="9475" max="9475" width="14.453125" style="431" customWidth="1"/>
    <col min="9476" max="9478" width="11.453125" style="431" customWidth="1"/>
    <col min="9479" max="9479" width="13.1796875" style="431" customWidth="1"/>
    <col min="9480" max="9480" width="12.1796875" style="431" customWidth="1"/>
    <col min="9481" max="9481" width="12.54296875" style="431" customWidth="1"/>
    <col min="9482" max="9482" width="11.453125" style="431"/>
    <col min="9483" max="9483" width="13" style="431" customWidth="1"/>
    <col min="9484" max="9491" width="11.453125" style="431"/>
    <col min="9492" max="9492" width="54.7265625" style="431" bestFit="1" customWidth="1"/>
    <col min="9493" max="9493" width="19" style="431" bestFit="1" customWidth="1"/>
    <col min="9494" max="9726" width="11.453125" style="431"/>
    <col min="9727" max="9727" width="6" style="431" customWidth="1"/>
    <col min="9728" max="9728" width="21.1796875" style="431" customWidth="1"/>
    <col min="9729" max="9729" width="15.26953125" style="431" customWidth="1"/>
    <col min="9730" max="9730" width="15.453125" style="431" bestFit="1" customWidth="1"/>
    <col min="9731" max="9731" width="14.453125" style="431" customWidth="1"/>
    <col min="9732" max="9734" width="11.453125" style="431" customWidth="1"/>
    <col min="9735" max="9735" width="13.1796875" style="431" customWidth="1"/>
    <col min="9736" max="9736" width="12.1796875" style="431" customWidth="1"/>
    <col min="9737" max="9737" width="12.54296875" style="431" customWidth="1"/>
    <col min="9738" max="9738" width="11.453125" style="431"/>
    <col min="9739" max="9739" width="13" style="431" customWidth="1"/>
    <col min="9740" max="9747" width="11.453125" style="431"/>
    <col min="9748" max="9748" width="54.7265625" style="431" bestFit="1" customWidth="1"/>
    <col min="9749" max="9749" width="19" style="431" bestFit="1" customWidth="1"/>
    <col min="9750" max="9982" width="11.453125" style="431"/>
    <col min="9983" max="9983" width="6" style="431" customWidth="1"/>
    <col min="9984" max="9984" width="21.1796875" style="431" customWidth="1"/>
    <col min="9985" max="9985" width="15.26953125" style="431" customWidth="1"/>
    <col min="9986" max="9986" width="15.453125" style="431" bestFit="1" customWidth="1"/>
    <col min="9987" max="9987" width="14.453125" style="431" customWidth="1"/>
    <col min="9988" max="9990" width="11.453125" style="431" customWidth="1"/>
    <col min="9991" max="9991" width="13.1796875" style="431" customWidth="1"/>
    <col min="9992" max="9992" width="12.1796875" style="431" customWidth="1"/>
    <col min="9993" max="9993" width="12.54296875" style="431" customWidth="1"/>
    <col min="9994" max="9994" width="11.453125" style="431"/>
    <col min="9995" max="9995" width="13" style="431" customWidth="1"/>
    <col min="9996" max="10003" width="11.453125" style="431"/>
    <col min="10004" max="10004" width="54.7265625" style="431" bestFit="1" customWidth="1"/>
    <col min="10005" max="10005" width="19" style="431" bestFit="1" customWidth="1"/>
    <col min="10006" max="10238" width="11.453125" style="431"/>
    <col min="10239" max="10239" width="6" style="431" customWidth="1"/>
    <col min="10240" max="10240" width="21.1796875" style="431" customWidth="1"/>
    <col min="10241" max="10241" width="15.26953125" style="431" customWidth="1"/>
    <col min="10242" max="10242" width="15.453125" style="431" bestFit="1" customWidth="1"/>
    <col min="10243" max="10243" width="14.453125" style="431" customWidth="1"/>
    <col min="10244" max="10246" width="11.453125" style="431" customWidth="1"/>
    <col min="10247" max="10247" width="13.1796875" style="431" customWidth="1"/>
    <col min="10248" max="10248" width="12.1796875" style="431" customWidth="1"/>
    <col min="10249" max="10249" width="12.54296875" style="431" customWidth="1"/>
    <col min="10250" max="10250" width="11.453125" style="431"/>
    <col min="10251" max="10251" width="13" style="431" customWidth="1"/>
    <col min="10252" max="10259" width="11.453125" style="431"/>
    <col min="10260" max="10260" width="54.7265625" style="431" bestFit="1" customWidth="1"/>
    <col min="10261" max="10261" width="19" style="431" bestFit="1" customWidth="1"/>
    <col min="10262" max="10494" width="11.453125" style="431"/>
    <col min="10495" max="10495" width="6" style="431" customWidth="1"/>
    <col min="10496" max="10496" width="21.1796875" style="431" customWidth="1"/>
    <col min="10497" max="10497" width="15.26953125" style="431" customWidth="1"/>
    <col min="10498" max="10498" width="15.453125" style="431" bestFit="1" customWidth="1"/>
    <col min="10499" max="10499" width="14.453125" style="431" customWidth="1"/>
    <col min="10500" max="10502" width="11.453125" style="431" customWidth="1"/>
    <col min="10503" max="10503" width="13.1796875" style="431" customWidth="1"/>
    <col min="10504" max="10504" width="12.1796875" style="431" customWidth="1"/>
    <col min="10505" max="10505" width="12.54296875" style="431" customWidth="1"/>
    <col min="10506" max="10506" width="11.453125" style="431"/>
    <col min="10507" max="10507" width="13" style="431" customWidth="1"/>
    <col min="10508" max="10515" width="11.453125" style="431"/>
    <col min="10516" max="10516" width="54.7265625" style="431" bestFit="1" customWidth="1"/>
    <col min="10517" max="10517" width="19" style="431" bestFit="1" customWidth="1"/>
    <col min="10518" max="10750" width="11.453125" style="431"/>
    <col min="10751" max="10751" width="6" style="431" customWidth="1"/>
    <col min="10752" max="10752" width="21.1796875" style="431" customWidth="1"/>
    <col min="10753" max="10753" width="15.26953125" style="431" customWidth="1"/>
    <col min="10754" max="10754" width="15.453125" style="431" bestFit="1" customWidth="1"/>
    <col min="10755" max="10755" width="14.453125" style="431" customWidth="1"/>
    <col min="10756" max="10758" width="11.453125" style="431" customWidth="1"/>
    <col min="10759" max="10759" width="13.1796875" style="431" customWidth="1"/>
    <col min="10760" max="10760" width="12.1796875" style="431" customWidth="1"/>
    <col min="10761" max="10761" width="12.54296875" style="431" customWidth="1"/>
    <col min="10762" max="10762" width="11.453125" style="431"/>
    <col min="10763" max="10763" width="13" style="431" customWidth="1"/>
    <col min="10764" max="10771" width="11.453125" style="431"/>
    <col min="10772" max="10772" width="54.7265625" style="431" bestFit="1" customWidth="1"/>
    <col min="10773" max="10773" width="19" style="431" bestFit="1" customWidth="1"/>
    <col min="10774" max="11006" width="11.453125" style="431"/>
    <col min="11007" max="11007" width="6" style="431" customWidth="1"/>
    <col min="11008" max="11008" width="21.1796875" style="431" customWidth="1"/>
    <col min="11009" max="11009" width="15.26953125" style="431" customWidth="1"/>
    <col min="11010" max="11010" width="15.453125" style="431" bestFit="1" customWidth="1"/>
    <col min="11011" max="11011" width="14.453125" style="431" customWidth="1"/>
    <col min="11012" max="11014" width="11.453125" style="431" customWidth="1"/>
    <col min="11015" max="11015" width="13.1796875" style="431" customWidth="1"/>
    <col min="11016" max="11016" width="12.1796875" style="431" customWidth="1"/>
    <col min="11017" max="11017" width="12.54296875" style="431" customWidth="1"/>
    <col min="11018" max="11018" width="11.453125" style="431"/>
    <col min="11019" max="11019" width="13" style="431" customWidth="1"/>
    <col min="11020" max="11027" width="11.453125" style="431"/>
    <col min="11028" max="11028" width="54.7265625" style="431" bestFit="1" customWidth="1"/>
    <col min="11029" max="11029" width="19" style="431" bestFit="1" customWidth="1"/>
    <col min="11030" max="11262" width="11.453125" style="431"/>
    <col min="11263" max="11263" width="6" style="431" customWidth="1"/>
    <col min="11264" max="11264" width="21.1796875" style="431" customWidth="1"/>
    <col min="11265" max="11265" width="15.26953125" style="431" customWidth="1"/>
    <col min="11266" max="11266" width="15.453125" style="431" bestFit="1" customWidth="1"/>
    <col min="11267" max="11267" width="14.453125" style="431" customWidth="1"/>
    <col min="11268" max="11270" width="11.453125" style="431" customWidth="1"/>
    <col min="11271" max="11271" width="13.1796875" style="431" customWidth="1"/>
    <col min="11272" max="11272" width="12.1796875" style="431" customWidth="1"/>
    <col min="11273" max="11273" width="12.54296875" style="431" customWidth="1"/>
    <col min="11274" max="11274" width="11.453125" style="431"/>
    <col min="11275" max="11275" width="13" style="431" customWidth="1"/>
    <col min="11276" max="11283" width="11.453125" style="431"/>
    <col min="11284" max="11284" width="54.7265625" style="431" bestFit="1" customWidth="1"/>
    <col min="11285" max="11285" width="19" style="431" bestFit="1" customWidth="1"/>
    <col min="11286" max="11518" width="11.453125" style="431"/>
    <col min="11519" max="11519" width="6" style="431" customWidth="1"/>
    <col min="11520" max="11520" width="21.1796875" style="431" customWidth="1"/>
    <col min="11521" max="11521" width="15.26953125" style="431" customWidth="1"/>
    <col min="11522" max="11522" width="15.453125" style="431" bestFit="1" customWidth="1"/>
    <col min="11523" max="11523" width="14.453125" style="431" customWidth="1"/>
    <col min="11524" max="11526" width="11.453125" style="431" customWidth="1"/>
    <col min="11527" max="11527" width="13.1796875" style="431" customWidth="1"/>
    <col min="11528" max="11528" width="12.1796875" style="431" customWidth="1"/>
    <col min="11529" max="11529" width="12.54296875" style="431" customWidth="1"/>
    <col min="11530" max="11530" width="11.453125" style="431"/>
    <col min="11531" max="11531" width="13" style="431" customWidth="1"/>
    <col min="11532" max="11539" width="11.453125" style="431"/>
    <col min="11540" max="11540" width="54.7265625" style="431" bestFit="1" customWidth="1"/>
    <col min="11541" max="11541" width="19" style="431" bestFit="1" customWidth="1"/>
    <col min="11542" max="11774" width="11.453125" style="431"/>
    <col min="11775" max="11775" width="6" style="431" customWidth="1"/>
    <col min="11776" max="11776" width="21.1796875" style="431" customWidth="1"/>
    <col min="11777" max="11777" width="15.26953125" style="431" customWidth="1"/>
    <col min="11778" max="11778" width="15.453125" style="431" bestFit="1" customWidth="1"/>
    <col min="11779" max="11779" width="14.453125" style="431" customWidth="1"/>
    <col min="11780" max="11782" width="11.453125" style="431" customWidth="1"/>
    <col min="11783" max="11783" width="13.1796875" style="431" customWidth="1"/>
    <col min="11784" max="11784" width="12.1796875" style="431" customWidth="1"/>
    <col min="11785" max="11785" width="12.54296875" style="431" customWidth="1"/>
    <col min="11786" max="11786" width="11.453125" style="431"/>
    <col min="11787" max="11787" width="13" style="431" customWidth="1"/>
    <col min="11788" max="11795" width="11.453125" style="431"/>
    <col min="11796" max="11796" width="54.7265625" style="431" bestFit="1" customWidth="1"/>
    <col min="11797" max="11797" width="19" style="431" bestFit="1" customWidth="1"/>
    <col min="11798" max="12030" width="11.453125" style="431"/>
    <col min="12031" max="12031" width="6" style="431" customWidth="1"/>
    <col min="12032" max="12032" width="21.1796875" style="431" customWidth="1"/>
    <col min="12033" max="12033" width="15.26953125" style="431" customWidth="1"/>
    <col min="12034" max="12034" width="15.453125" style="431" bestFit="1" customWidth="1"/>
    <col min="12035" max="12035" width="14.453125" style="431" customWidth="1"/>
    <col min="12036" max="12038" width="11.453125" style="431" customWidth="1"/>
    <col min="12039" max="12039" width="13.1796875" style="431" customWidth="1"/>
    <col min="12040" max="12040" width="12.1796875" style="431" customWidth="1"/>
    <col min="12041" max="12041" width="12.54296875" style="431" customWidth="1"/>
    <col min="12042" max="12042" width="11.453125" style="431"/>
    <col min="12043" max="12043" width="13" style="431" customWidth="1"/>
    <col min="12044" max="12051" width="11.453125" style="431"/>
    <col min="12052" max="12052" width="54.7265625" style="431" bestFit="1" customWidth="1"/>
    <col min="12053" max="12053" width="19" style="431" bestFit="1" customWidth="1"/>
    <col min="12054" max="12286" width="11.453125" style="431"/>
    <col min="12287" max="12287" width="6" style="431" customWidth="1"/>
    <col min="12288" max="12288" width="21.1796875" style="431" customWidth="1"/>
    <col min="12289" max="12289" width="15.26953125" style="431" customWidth="1"/>
    <col min="12290" max="12290" width="15.453125" style="431" bestFit="1" customWidth="1"/>
    <col min="12291" max="12291" width="14.453125" style="431" customWidth="1"/>
    <col min="12292" max="12294" width="11.453125" style="431" customWidth="1"/>
    <col min="12295" max="12295" width="13.1796875" style="431" customWidth="1"/>
    <col min="12296" max="12296" width="12.1796875" style="431" customWidth="1"/>
    <col min="12297" max="12297" width="12.54296875" style="431" customWidth="1"/>
    <col min="12298" max="12298" width="11.453125" style="431"/>
    <col min="12299" max="12299" width="13" style="431" customWidth="1"/>
    <col min="12300" max="12307" width="11.453125" style="431"/>
    <col min="12308" max="12308" width="54.7265625" style="431" bestFit="1" customWidth="1"/>
    <col min="12309" max="12309" width="19" style="431" bestFit="1" customWidth="1"/>
    <col min="12310" max="12542" width="11.453125" style="431"/>
    <col min="12543" max="12543" width="6" style="431" customWidth="1"/>
    <col min="12544" max="12544" width="21.1796875" style="431" customWidth="1"/>
    <col min="12545" max="12545" width="15.26953125" style="431" customWidth="1"/>
    <col min="12546" max="12546" width="15.453125" style="431" bestFit="1" customWidth="1"/>
    <col min="12547" max="12547" width="14.453125" style="431" customWidth="1"/>
    <col min="12548" max="12550" width="11.453125" style="431" customWidth="1"/>
    <col min="12551" max="12551" width="13.1796875" style="431" customWidth="1"/>
    <col min="12552" max="12552" width="12.1796875" style="431" customWidth="1"/>
    <col min="12553" max="12553" width="12.54296875" style="431" customWidth="1"/>
    <col min="12554" max="12554" width="11.453125" style="431"/>
    <col min="12555" max="12555" width="13" style="431" customWidth="1"/>
    <col min="12556" max="12563" width="11.453125" style="431"/>
    <col min="12564" max="12564" width="54.7265625" style="431" bestFit="1" customWidth="1"/>
    <col min="12565" max="12565" width="19" style="431" bestFit="1" customWidth="1"/>
    <col min="12566" max="12798" width="11.453125" style="431"/>
    <col min="12799" max="12799" width="6" style="431" customWidth="1"/>
    <col min="12800" max="12800" width="21.1796875" style="431" customWidth="1"/>
    <col min="12801" max="12801" width="15.26953125" style="431" customWidth="1"/>
    <col min="12802" max="12802" width="15.453125" style="431" bestFit="1" customWidth="1"/>
    <col min="12803" max="12803" width="14.453125" style="431" customWidth="1"/>
    <col min="12804" max="12806" width="11.453125" style="431" customWidth="1"/>
    <col min="12807" max="12807" width="13.1796875" style="431" customWidth="1"/>
    <col min="12808" max="12808" width="12.1796875" style="431" customWidth="1"/>
    <col min="12809" max="12809" width="12.54296875" style="431" customWidth="1"/>
    <col min="12810" max="12810" width="11.453125" style="431"/>
    <col min="12811" max="12811" width="13" style="431" customWidth="1"/>
    <col min="12812" max="12819" width="11.453125" style="431"/>
    <col min="12820" max="12820" width="54.7265625" style="431" bestFit="1" customWidth="1"/>
    <col min="12821" max="12821" width="19" style="431" bestFit="1" customWidth="1"/>
    <col min="12822" max="13054" width="11.453125" style="431"/>
    <col min="13055" max="13055" width="6" style="431" customWidth="1"/>
    <col min="13056" max="13056" width="21.1796875" style="431" customWidth="1"/>
    <col min="13057" max="13057" width="15.26953125" style="431" customWidth="1"/>
    <col min="13058" max="13058" width="15.453125" style="431" bestFit="1" customWidth="1"/>
    <col min="13059" max="13059" width="14.453125" style="431" customWidth="1"/>
    <col min="13060" max="13062" width="11.453125" style="431" customWidth="1"/>
    <col min="13063" max="13063" width="13.1796875" style="431" customWidth="1"/>
    <col min="13064" max="13064" width="12.1796875" style="431" customWidth="1"/>
    <col min="13065" max="13065" width="12.54296875" style="431" customWidth="1"/>
    <col min="13066" max="13066" width="11.453125" style="431"/>
    <col min="13067" max="13067" width="13" style="431" customWidth="1"/>
    <col min="13068" max="13075" width="11.453125" style="431"/>
    <col min="13076" max="13076" width="54.7265625" style="431" bestFit="1" customWidth="1"/>
    <col min="13077" max="13077" width="19" style="431" bestFit="1" customWidth="1"/>
    <col min="13078" max="13310" width="11.453125" style="431"/>
    <col min="13311" max="13311" width="6" style="431" customWidth="1"/>
    <col min="13312" max="13312" width="21.1796875" style="431" customWidth="1"/>
    <col min="13313" max="13313" width="15.26953125" style="431" customWidth="1"/>
    <col min="13314" max="13314" width="15.453125" style="431" bestFit="1" customWidth="1"/>
    <col min="13315" max="13315" width="14.453125" style="431" customWidth="1"/>
    <col min="13316" max="13318" width="11.453125" style="431" customWidth="1"/>
    <col min="13319" max="13319" width="13.1796875" style="431" customWidth="1"/>
    <col min="13320" max="13320" width="12.1796875" style="431" customWidth="1"/>
    <col min="13321" max="13321" width="12.54296875" style="431" customWidth="1"/>
    <col min="13322" max="13322" width="11.453125" style="431"/>
    <col min="13323" max="13323" width="13" style="431" customWidth="1"/>
    <col min="13324" max="13331" width="11.453125" style="431"/>
    <col min="13332" max="13332" width="54.7265625" style="431" bestFit="1" customWidth="1"/>
    <col min="13333" max="13333" width="19" style="431" bestFit="1" customWidth="1"/>
    <col min="13334" max="13566" width="11.453125" style="431"/>
    <col min="13567" max="13567" width="6" style="431" customWidth="1"/>
    <col min="13568" max="13568" width="21.1796875" style="431" customWidth="1"/>
    <col min="13569" max="13569" width="15.26953125" style="431" customWidth="1"/>
    <col min="13570" max="13570" width="15.453125" style="431" bestFit="1" customWidth="1"/>
    <col min="13571" max="13571" width="14.453125" style="431" customWidth="1"/>
    <col min="13572" max="13574" width="11.453125" style="431" customWidth="1"/>
    <col min="13575" max="13575" width="13.1796875" style="431" customWidth="1"/>
    <col min="13576" max="13576" width="12.1796875" style="431" customWidth="1"/>
    <col min="13577" max="13577" width="12.54296875" style="431" customWidth="1"/>
    <col min="13578" max="13578" width="11.453125" style="431"/>
    <col min="13579" max="13579" width="13" style="431" customWidth="1"/>
    <col min="13580" max="13587" width="11.453125" style="431"/>
    <col min="13588" max="13588" width="54.7265625" style="431" bestFit="1" customWidth="1"/>
    <col min="13589" max="13589" width="19" style="431" bestFit="1" customWidth="1"/>
    <col min="13590" max="13822" width="11.453125" style="431"/>
    <col min="13823" max="13823" width="6" style="431" customWidth="1"/>
    <col min="13824" max="13824" width="21.1796875" style="431" customWidth="1"/>
    <col min="13825" max="13825" width="15.26953125" style="431" customWidth="1"/>
    <col min="13826" max="13826" width="15.453125" style="431" bestFit="1" customWidth="1"/>
    <col min="13827" max="13827" width="14.453125" style="431" customWidth="1"/>
    <col min="13828" max="13830" width="11.453125" style="431" customWidth="1"/>
    <col min="13831" max="13831" width="13.1796875" style="431" customWidth="1"/>
    <col min="13832" max="13832" width="12.1796875" style="431" customWidth="1"/>
    <col min="13833" max="13833" width="12.54296875" style="431" customWidth="1"/>
    <col min="13834" max="13834" width="11.453125" style="431"/>
    <col min="13835" max="13835" width="13" style="431" customWidth="1"/>
    <col min="13836" max="13843" width="11.453125" style="431"/>
    <col min="13844" max="13844" width="54.7265625" style="431" bestFit="1" customWidth="1"/>
    <col min="13845" max="13845" width="19" style="431" bestFit="1" customWidth="1"/>
    <col min="13846" max="14078" width="11.453125" style="431"/>
    <col min="14079" max="14079" width="6" style="431" customWidth="1"/>
    <col min="14080" max="14080" width="21.1796875" style="431" customWidth="1"/>
    <col min="14081" max="14081" width="15.26953125" style="431" customWidth="1"/>
    <col min="14082" max="14082" width="15.453125" style="431" bestFit="1" customWidth="1"/>
    <col min="14083" max="14083" width="14.453125" style="431" customWidth="1"/>
    <col min="14084" max="14086" width="11.453125" style="431" customWidth="1"/>
    <col min="14087" max="14087" width="13.1796875" style="431" customWidth="1"/>
    <col min="14088" max="14088" width="12.1796875" style="431" customWidth="1"/>
    <col min="14089" max="14089" width="12.54296875" style="431" customWidth="1"/>
    <col min="14090" max="14090" width="11.453125" style="431"/>
    <col min="14091" max="14091" width="13" style="431" customWidth="1"/>
    <col min="14092" max="14099" width="11.453125" style="431"/>
    <col min="14100" max="14100" width="54.7265625" style="431" bestFit="1" customWidth="1"/>
    <col min="14101" max="14101" width="19" style="431" bestFit="1" customWidth="1"/>
    <col min="14102" max="14334" width="11.453125" style="431"/>
    <col min="14335" max="14335" width="6" style="431" customWidth="1"/>
    <col min="14336" max="14336" width="21.1796875" style="431" customWidth="1"/>
    <col min="14337" max="14337" width="15.26953125" style="431" customWidth="1"/>
    <col min="14338" max="14338" width="15.453125" style="431" bestFit="1" customWidth="1"/>
    <col min="14339" max="14339" width="14.453125" style="431" customWidth="1"/>
    <col min="14340" max="14342" width="11.453125" style="431" customWidth="1"/>
    <col min="14343" max="14343" width="13.1796875" style="431" customWidth="1"/>
    <col min="14344" max="14344" width="12.1796875" style="431" customWidth="1"/>
    <col min="14345" max="14345" width="12.54296875" style="431" customWidth="1"/>
    <col min="14346" max="14346" width="11.453125" style="431"/>
    <col min="14347" max="14347" width="13" style="431" customWidth="1"/>
    <col min="14348" max="14355" width="11.453125" style="431"/>
    <col min="14356" max="14356" width="54.7265625" style="431" bestFit="1" customWidth="1"/>
    <col min="14357" max="14357" width="19" style="431" bestFit="1" customWidth="1"/>
    <col min="14358" max="14590" width="11.453125" style="431"/>
    <col min="14591" max="14591" width="6" style="431" customWidth="1"/>
    <col min="14592" max="14592" width="21.1796875" style="431" customWidth="1"/>
    <col min="14593" max="14593" width="15.26953125" style="431" customWidth="1"/>
    <col min="14594" max="14594" width="15.453125" style="431" bestFit="1" customWidth="1"/>
    <col min="14595" max="14595" width="14.453125" style="431" customWidth="1"/>
    <col min="14596" max="14598" width="11.453125" style="431" customWidth="1"/>
    <col min="14599" max="14599" width="13.1796875" style="431" customWidth="1"/>
    <col min="14600" max="14600" width="12.1796875" style="431" customWidth="1"/>
    <col min="14601" max="14601" width="12.54296875" style="431" customWidth="1"/>
    <col min="14602" max="14602" width="11.453125" style="431"/>
    <col min="14603" max="14603" width="13" style="431" customWidth="1"/>
    <col min="14604" max="14611" width="11.453125" style="431"/>
    <col min="14612" max="14612" width="54.7265625" style="431" bestFit="1" customWidth="1"/>
    <col min="14613" max="14613" width="19" style="431" bestFit="1" customWidth="1"/>
    <col min="14614" max="14846" width="11.453125" style="431"/>
    <col min="14847" max="14847" width="6" style="431" customWidth="1"/>
    <col min="14848" max="14848" width="21.1796875" style="431" customWidth="1"/>
    <col min="14849" max="14849" width="15.26953125" style="431" customWidth="1"/>
    <col min="14850" max="14850" width="15.453125" style="431" bestFit="1" customWidth="1"/>
    <col min="14851" max="14851" width="14.453125" style="431" customWidth="1"/>
    <col min="14852" max="14854" width="11.453125" style="431" customWidth="1"/>
    <col min="14855" max="14855" width="13.1796875" style="431" customWidth="1"/>
    <col min="14856" max="14856" width="12.1796875" style="431" customWidth="1"/>
    <col min="14857" max="14857" width="12.54296875" style="431" customWidth="1"/>
    <col min="14858" max="14858" width="11.453125" style="431"/>
    <col min="14859" max="14859" width="13" style="431" customWidth="1"/>
    <col min="14860" max="14867" width="11.453125" style="431"/>
    <col min="14868" max="14868" width="54.7265625" style="431" bestFit="1" customWidth="1"/>
    <col min="14869" max="14869" width="19" style="431" bestFit="1" customWidth="1"/>
    <col min="14870" max="15102" width="11.453125" style="431"/>
    <col min="15103" max="15103" width="6" style="431" customWidth="1"/>
    <col min="15104" max="15104" width="21.1796875" style="431" customWidth="1"/>
    <col min="15105" max="15105" width="15.26953125" style="431" customWidth="1"/>
    <col min="15106" max="15106" width="15.453125" style="431" bestFit="1" customWidth="1"/>
    <col min="15107" max="15107" width="14.453125" style="431" customWidth="1"/>
    <col min="15108" max="15110" width="11.453125" style="431" customWidth="1"/>
    <col min="15111" max="15111" width="13.1796875" style="431" customWidth="1"/>
    <col min="15112" max="15112" width="12.1796875" style="431" customWidth="1"/>
    <col min="15113" max="15113" width="12.54296875" style="431" customWidth="1"/>
    <col min="15114" max="15114" width="11.453125" style="431"/>
    <col min="15115" max="15115" width="13" style="431" customWidth="1"/>
    <col min="15116" max="15123" width="11.453125" style="431"/>
    <col min="15124" max="15124" width="54.7265625" style="431" bestFit="1" customWidth="1"/>
    <col min="15125" max="15125" width="19" style="431" bestFit="1" customWidth="1"/>
    <col min="15126" max="15358" width="11.453125" style="431"/>
    <col min="15359" max="15359" width="6" style="431" customWidth="1"/>
    <col min="15360" max="15360" width="21.1796875" style="431" customWidth="1"/>
    <col min="15361" max="15361" width="15.26953125" style="431" customWidth="1"/>
    <col min="15362" max="15362" width="15.453125" style="431" bestFit="1" customWidth="1"/>
    <col min="15363" max="15363" width="14.453125" style="431" customWidth="1"/>
    <col min="15364" max="15366" width="11.453125" style="431" customWidth="1"/>
    <col min="15367" max="15367" width="13.1796875" style="431" customWidth="1"/>
    <col min="15368" max="15368" width="12.1796875" style="431" customWidth="1"/>
    <col min="15369" max="15369" width="12.54296875" style="431" customWidth="1"/>
    <col min="15370" max="15370" width="11.453125" style="431"/>
    <col min="15371" max="15371" width="13" style="431" customWidth="1"/>
    <col min="15372" max="15379" width="11.453125" style="431"/>
    <col min="15380" max="15380" width="54.7265625" style="431" bestFit="1" customWidth="1"/>
    <col min="15381" max="15381" width="19" style="431" bestFit="1" customWidth="1"/>
    <col min="15382" max="15614" width="11.453125" style="431"/>
    <col min="15615" max="15615" width="6" style="431" customWidth="1"/>
    <col min="15616" max="15616" width="21.1796875" style="431" customWidth="1"/>
    <col min="15617" max="15617" width="15.26953125" style="431" customWidth="1"/>
    <col min="15618" max="15618" width="15.453125" style="431" bestFit="1" customWidth="1"/>
    <col min="15619" max="15619" width="14.453125" style="431" customWidth="1"/>
    <col min="15620" max="15622" width="11.453125" style="431" customWidth="1"/>
    <col min="15623" max="15623" width="13.1796875" style="431" customWidth="1"/>
    <col min="15624" max="15624" width="12.1796875" style="431" customWidth="1"/>
    <col min="15625" max="15625" width="12.54296875" style="431" customWidth="1"/>
    <col min="15626" max="15626" width="11.453125" style="431"/>
    <col min="15627" max="15627" width="13" style="431" customWidth="1"/>
    <col min="15628" max="15635" width="11.453125" style="431"/>
    <col min="15636" max="15636" width="54.7265625" style="431" bestFit="1" customWidth="1"/>
    <col min="15637" max="15637" width="19" style="431" bestFit="1" customWidth="1"/>
    <col min="15638" max="15870" width="11.453125" style="431"/>
    <col min="15871" max="15871" width="6" style="431" customWidth="1"/>
    <col min="15872" max="15872" width="21.1796875" style="431" customWidth="1"/>
    <col min="15873" max="15873" width="15.26953125" style="431" customWidth="1"/>
    <col min="15874" max="15874" width="15.453125" style="431" bestFit="1" customWidth="1"/>
    <col min="15875" max="15875" width="14.453125" style="431" customWidth="1"/>
    <col min="15876" max="15878" width="11.453125" style="431" customWidth="1"/>
    <col min="15879" max="15879" width="13.1796875" style="431" customWidth="1"/>
    <col min="15880" max="15880" width="12.1796875" style="431" customWidth="1"/>
    <col min="15881" max="15881" width="12.54296875" style="431" customWidth="1"/>
    <col min="15882" max="15882" width="11.453125" style="431"/>
    <col min="15883" max="15883" width="13" style="431" customWidth="1"/>
    <col min="15884" max="15891" width="11.453125" style="431"/>
    <col min="15892" max="15892" width="54.7265625" style="431" bestFit="1" customWidth="1"/>
    <col min="15893" max="15893" width="19" style="431" bestFit="1" customWidth="1"/>
    <col min="15894" max="16126" width="11.453125" style="431"/>
    <col min="16127" max="16127" width="6" style="431" customWidth="1"/>
    <col min="16128" max="16128" width="21.1796875" style="431" customWidth="1"/>
    <col min="16129" max="16129" width="15.26953125" style="431" customWidth="1"/>
    <col min="16130" max="16130" width="15.453125" style="431" bestFit="1" customWidth="1"/>
    <col min="16131" max="16131" width="14.453125" style="431" customWidth="1"/>
    <col min="16132" max="16134" width="11.453125" style="431" customWidth="1"/>
    <col min="16135" max="16135" width="13.1796875" style="431" customWidth="1"/>
    <col min="16136" max="16136" width="12.1796875" style="431" customWidth="1"/>
    <col min="16137" max="16137" width="12.54296875" style="431" customWidth="1"/>
    <col min="16138" max="16138" width="11.453125" style="431"/>
    <col min="16139" max="16139" width="13" style="431" customWidth="1"/>
    <col min="16140" max="16147" width="11.453125" style="431"/>
    <col min="16148" max="16148" width="54.7265625" style="431" bestFit="1" customWidth="1"/>
    <col min="16149" max="16149" width="19" style="431" bestFit="1" customWidth="1"/>
    <col min="16150" max="16384" width="11.453125" style="431"/>
  </cols>
  <sheetData>
    <row r="1" spans="1:22" s="429" customFormat="1" ht="14.5" x14ac:dyDescent="0.35">
      <c r="A1" s="653"/>
      <c r="B1" s="654" t="s">
        <v>3152</v>
      </c>
      <c r="C1" s="655"/>
      <c r="D1" s="655"/>
      <c r="E1" s="655"/>
      <c r="F1" s="655"/>
      <c r="G1" s="655"/>
      <c r="H1" s="655"/>
      <c r="I1" s="655"/>
      <c r="J1" s="655"/>
      <c r="K1" s="655"/>
      <c r="L1" s="655"/>
      <c r="M1" s="655"/>
      <c r="U1" s="427"/>
      <c r="V1" s="427"/>
    </row>
    <row r="2" spans="1:22" ht="15" thickBot="1" x14ac:dyDescent="0.4">
      <c r="A2" s="217"/>
      <c r="B2" s="361"/>
      <c r="C2" s="361"/>
      <c r="D2" s="361"/>
      <c r="E2" s="361"/>
      <c r="F2" s="361"/>
      <c r="G2" s="361"/>
      <c r="H2" s="361"/>
      <c r="I2" s="361"/>
      <c r="J2" s="361"/>
      <c r="K2" s="361"/>
      <c r="L2" s="361"/>
      <c r="M2" s="361"/>
    </row>
    <row r="3" spans="1:22" ht="15" thickBot="1" x14ac:dyDescent="0.4">
      <c r="A3" s="217"/>
      <c r="B3" s="656" t="s">
        <v>3153</v>
      </c>
      <c r="C3" s="852" t="s">
        <v>3154</v>
      </c>
      <c r="D3" s="853"/>
      <c r="E3" s="854"/>
      <c r="F3" s="361"/>
      <c r="G3" s="361"/>
      <c r="H3" s="361"/>
      <c r="I3" s="361"/>
      <c r="J3" s="361"/>
      <c r="K3" s="361"/>
      <c r="L3" s="361"/>
      <c r="M3" s="361"/>
    </row>
    <row r="4" spans="1:22" ht="15" thickBot="1" x14ac:dyDescent="0.4">
      <c r="A4" s="217"/>
      <c r="B4" s="656" t="s">
        <v>3155</v>
      </c>
      <c r="C4" s="657">
        <f>REPORTING_DATE</f>
        <v>45291</v>
      </c>
      <c r="D4" s="361"/>
      <c r="E4" s="361"/>
      <c r="F4" s="361"/>
      <c r="G4" s="361"/>
      <c r="H4" s="361"/>
      <c r="I4" s="361"/>
      <c r="J4" s="361"/>
      <c r="K4" s="361"/>
      <c r="L4" s="361"/>
      <c r="M4" s="361"/>
    </row>
    <row r="5" spans="1:22" ht="14.5" x14ac:dyDescent="0.35">
      <c r="A5" s="217"/>
      <c r="B5" s="361"/>
      <c r="C5" s="361"/>
      <c r="D5" s="361"/>
      <c r="E5" s="361"/>
      <c r="F5" s="361"/>
      <c r="G5" s="361"/>
      <c r="H5" s="361"/>
      <c r="I5" s="361"/>
      <c r="J5" s="361"/>
      <c r="K5" s="361"/>
      <c r="L5" s="361"/>
      <c r="M5" s="361"/>
    </row>
    <row r="6" spans="1:22" s="428" customFormat="1" ht="13" x14ac:dyDescent="0.3">
      <c r="A6" s="658">
        <v>4</v>
      </c>
      <c r="B6" s="654" t="s">
        <v>3279</v>
      </c>
      <c r="C6" s="654"/>
      <c r="D6" s="654"/>
      <c r="E6" s="654"/>
      <c r="F6" s="654"/>
      <c r="G6" s="654"/>
      <c r="H6" s="654"/>
      <c r="I6" s="654"/>
      <c r="J6" s="654"/>
      <c r="K6" s="654"/>
      <c r="L6" s="654"/>
      <c r="M6" s="654"/>
      <c r="U6" s="436"/>
      <c r="V6" s="436"/>
    </row>
    <row r="7" spans="1:22" x14ac:dyDescent="0.25">
      <c r="A7" s="659"/>
      <c r="B7" s="660"/>
      <c r="C7" s="660"/>
      <c r="D7" s="660"/>
      <c r="E7" s="660"/>
      <c r="F7" s="660"/>
      <c r="G7" s="660"/>
      <c r="H7" s="660"/>
      <c r="I7" s="660"/>
      <c r="J7" s="660"/>
      <c r="K7" s="660"/>
      <c r="L7" s="660"/>
      <c r="M7" s="660"/>
    </row>
    <row r="8" spans="1:22" x14ac:dyDescent="0.25">
      <c r="A8" s="659"/>
      <c r="B8" s="660"/>
      <c r="C8" s="660"/>
      <c r="D8" s="660"/>
      <c r="E8" s="660"/>
      <c r="F8" s="660"/>
      <c r="G8" s="660"/>
      <c r="H8" s="660"/>
      <c r="I8" s="660"/>
      <c r="J8" s="660"/>
      <c r="K8" s="660"/>
      <c r="L8" s="660"/>
      <c r="M8" s="660"/>
    </row>
    <row r="9" spans="1:22" ht="13" x14ac:dyDescent="0.3">
      <c r="A9" s="659" t="s">
        <v>3280</v>
      </c>
      <c r="B9" s="661" t="s">
        <v>3281</v>
      </c>
      <c r="C9" s="660"/>
      <c r="D9" s="660"/>
      <c r="E9" s="660"/>
      <c r="F9" s="660"/>
      <c r="G9" s="660"/>
      <c r="H9" s="660"/>
      <c r="I9" s="660"/>
      <c r="J9" s="660"/>
      <c r="K9" s="660"/>
      <c r="L9" s="660"/>
      <c r="M9" s="660"/>
    </row>
    <row r="10" spans="1:22" ht="13" thickBot="1" x14ac:dyDescent="0.3">
      <c r="A10" s="659"/>
      <c r="B10" s="660"/>
      <c r="C10" s="660"/>
      <c r="D10" s="660"/>
      <c r="E10" s="660"/>
      <c r="F10" s="660"/>
      <c r="G10" s="660"/>
      <c r="H10" s="660"/>
      <c r="I10" s="660"/>
      <c r="J10" s="660"/>
      <c r="K10" s="660"/>
      <c r="L10" s="660"/>
      <c r="M10" s="660"/>
    </row>
    <row r="11" spans="1:22" ht="28.5" customHeight="1" thickBot="1" x14ac:dyDescent="0.35">
      <c r="A11" s="659"/>
      <c r="B11" s="660"/>
      <c r="C11" s="662" t="s">
        <v>3282</v>
      </c>
      <c r="D11" s="660"/>
      <c r="E11" s="660"/>
      <c r="F11" s="660"/>
      <c r="G11" s="660"/>
      <c r="H11" s="660"/>
      <c r="I11" s="660"/>
      <c r="J11" s="660"/>
      <c r="K11" s="660"/>
      <c r="L11" s="660"/>
      <c r="M11" s="660"/>
    </row>
    <row r="12" spans="1:22" ht="13.5" thickBot="1" x14ac:dyDescent="0.35">
      <c r="A12" s="659"/>
      <c r="B12" s="663" t="s">
        <v>3283</v>
      </c>
      <c r="C12" s="664">
        <v>1</v>
      </c>
      <c r="D12" s="660"/>
      <c r="E12" s="660"/>
      <c r="F12" s="660"/>
      <c r="G12" s="660"/>
      <c r="H12" s="660"/>
      <c r="I12" s="660"/>
      <c r="J12" s="660"/>
      <c r="K12" s="660"/>
      <c r="L12" s="660"/>
      <c r="M12" s="660"/>
    </row>
    <row r="13" spans="1:22" ht="13" x14ac:dyDescent="0.3">
      <c r="A13" s="659"/>
      <c r="B13" s="665" t="s">
        <v>3284</v>
      </c>
      <c r="C13" s="666"/>
      <c r="D13" s="660"/>
      <c r="E13" s="660"/>
      <c r="F13" s="660"/>
      <c r="G13" s="660"/>
      <c r="H13" s="660"/>
      <c r="I13" s="660"/>
      <c r="J13" s="660"/>
      <c r="K13" s="660"/>
      <c r="L13" s="660"/>
      <c r="M13" s="660"/>
    </row>
    <row r="14" spans="1:22" ht="13" x14ac:dyDescent="0.3">
      <c r="A14" s="659"/>
      <c r="B14" s="667" t="s">
        <v>3285</v>
      </c>
      <c r="C14" s="668">
        <v>0</v>
      </c>
      <c r="D14" s="660"/>
      <c r="E14" s="660"/>
      <c r="F14" s="660"/>
      <c r="G14" s="660"/>
      <c r="H14" s="660"/>
      <c r="I14" s="660"/>
      <c r="J14" s="660"/>
      <c r="K14" s="660"/>
      <c r="L14" s="660"/>
      <c r="M14" s="660"/>
    </row>
    <row r="15" spans="1:22" ht="13" x14ac:dyDescent="0.3">
      <c r="A15" s="659"/>
      <c r="B15" s="667" t="s">
        <v>3286</v>
      </c>
      <c r="C15" s="668">
        <v>0</v>
      </c>
      <c r="D15" s="660"/>
      <c r="E15" s="660"/>
      <c r="F15" s="660"/>
      <c r="G15" s="660"/>
      <c r="H15" s="660"/>
      <c r="I15" s="660"/>
      <c r="J15" s="660"/>
      <c r="K15" s="660"/>
      <c r="L15" s="660"/>
      <c r="M15" s="660"/>
    </row>
    <row r="16" spans="1:22" ht="13" x14ac:dyDescent="0.3">
      <c r="A16" s="659"/>
      <c r="B16" s="667" t="s">
        <v>3287</v>
      </c>
      <c r="C16" s="668">
        <v>0</v>
      </c>
      <c r="D16" s="660"/>
      <c r="E16" s="660"/>
      <c r="F16" s="660"/>
      <c r="G16" s="660"/>
      <c r="H16" s="660"/>
      <c r="I16" s="660"/>
      <c r="J16" s="660"/>
      <c r="K16" s="660"/>
      <c r="L16" s="660"/>
      <c r="M16" s="660"/>
    </row>
    <row r="17" spans="1:13" ht="13" x14ac:dyDescent="0.3">
      <c r="A17" s="659"/>
      <c r="B17" s="667" t="s">
        <v>3288</v>
      </c>
      <c r="C17" s="668">
        <v>0</v>
      </c>
      <c r="D17" s="660"/>
      <c r="E17" s="660"/>
      <c r="F17" s="660"/>
      <c r="G17" s="660"/>
      <c r="H17" s="660"/>
      <c r="I17" s="660"/>
      <c r="J17" s="660"/>
      <c r="K17" s="660"/>
      <c r="L17" s="660"/>
      <c r="M17" s="660"/>
    </row>
    <row r="18" spans="1:13" ht="13.5" thickBot="1" x14ac:dyDescent="0.35">
      <c r="A18" s="659"/>
      <c r="B18" s="669" t="s">
        <v>3289</v>
      </c>
      <c r="C18" s="670">
        <v>0</v>
      </c>
      <c r="D18" s="660"/>
      <c r="E18" s="660"/>
      <c r="F18" s="660"/>
      <c r="G18" s="660"/>
      <c r="H18" s="660"/>
      <c r="I18" s="660"/>
      <c r="J18" s="660"/>
      <c r="K18" s="660"/>
      <c r="L18" s="660"/>
      <c r="M18" s="660"/>
    </row>
    <row r="19" spans="1:13" x14ac:dyDescent="0.25">
      <c r="A19" s="659"/>
      <c r="B19" s="660"/>
      <c r="C19" s="660"/>
      <c r="D19" s="660"/>
      <c r="E19" s="660"/>
      <c r="F19" s="660"/>
      <c r="G19" s="660"/>
      <c r="H19" s="660"/>
      <c r="I19" s="660"/>
      <c r="J19" s="660"/>
      <c r="K19" s="660"/>
      <c r="L19" s="660"/>
      <c r="M19" s="660"/>
    </row>
    <row r="20" spans="1:13" x14ac:dyDescent="0.25">
      <c r="A20" s="659"/>
      <c r="B20" s="660"/>
      <c r="C20" s="660"/>
      <c r="D20" s="660"/>
      <c r="E20" s="660"/>
      <c r="F20" s="660"/>
      <c r="G20" s="660"/>
      <c r="H20" s="660"/>
      <c r="I20" s="660"/>
      <c r="J20" s="660"/>
      <c r="K20" s="660"/>
      <c r="L20" s="660"/>
      <c r="M20" s="660"/>
    </row>
    <row r="21" spans="1:13" ht="14.5" x14ac:dyDescent="0.35">
      <c r="A21" s="659" t="s">
        <v>3290</v>
      </c>
      <c r="B21" s="661" t="s">
        <v>3291</v>
      </c>
      <c r="C21" s="671"/>
      <c r="D21" s="361"/>
      <c r="E21" s="361"/>
      <c r="F21" s="361"/>
      <c r="G21" s="361"/>
      <c r="H21" s="361"/>
      <c r="I21" s="361"/>
      <c r="J21" s="361"/>
      <c r="K21" s="361"/>
      <c r="L21" s="361"/>
      <c r="M21" s="361"/>
    </row>
    <row r="22" spans="1:13" ht="15" thickBot="1" x14ac:dyDescent="0.4">
      <c r="A22" s="659"/>
      <c r="B22" s="672"/>
      <c r="C22" s="671"/>
      <c r="D22" s="361"/>
      <c r="E22" s="361"/>
      <c r="F22" s="361"/>
      <c r="G22" s="361"/>
      <c r="H22" s="361"/>
      <c r="I22" s="361"/>
      <c r="J22" s="361"/>
      <c r="K22" s="361"/>
      <c r="L22" s="361"/>
      <c r="M22" s="361"/>
    </row>
    <row r="23" spans="1:13" ht="15" thickBot="1" x14ac:dyDescent="0.4">
      <c r="A23" s="659"/>
      <c r="B23" s="673" t="s">
        <v>3292</v>
      </c>
      <c r="C23" s="674" t="s">
        <v>0</v>
      </c>
      <c r="D23" s="675" t="s">
        <v>3293</v>
      </c>
      <c r="E23" s="676"/>
      <c r="F23" s="677"/>
      <c r="G23" s="676"/>
      <c r="H23" s="678"/>
      <c r="I23" s="217"/>
      <c r="J23" s="217"/>
      <c r="K23" s="361"/>
      <c r="L23" s="361"/>
      <c r="M23" s="361"/>
    </row>
    <row r="24" spans="1:13" ht="15" thickBot="1" x14ac:dyDescent="0.4">
      <c r="A24" s="659"/>
      <c r="B24" s="679" t="s">
        <v>3294</v>
      </c>
      <c r="C24" s="680" t="s">
        <v>517</v>
      </c>
      <c r="D24" s="681">
        <v>0</v>
      </c>
      <c r="E24" s="677"/>
      <c r="F24" s="361"/>
      <c r="G24" s="677"/>
      <c r="H24" s="361"/>
      <c r="I24" s="361"/>
      <c r="J24" s="361"/>
      <c r="K24" s="361"/>
      <c r="L24" s="361"/>
      <c r="M24" s="361"/>
    </row>
    <row r="25" spans="1:13" ht="14.5" x14ac:dyDescent="0.35">
      <c r="A25" s="659"/>
      <c r="B25" s="676"/>
      <c r="C25" s="676"/>
      <c r="D25" s="361"/>
      <c r="E25" s="361"/>
      <c r="F25" s="361"/>
      <c r="G25" s="361"/>
      <c r="H25" s="361"/>
      <c r="I25" s="361"/>
      <c r="J25" s="361"/>
      <c r="K25" s="361"/>
      <c r="L25" s="361"/>
      <c r="M25" s="361"/>
    </row>
    <row r="26" spans="1:13" ht="14.5" x14ac:dyDescent="0.35">
      <c r="A26" s="659"/>
      <c r="B26" s="676"/>
      <c r="C26" s="676"/>
      <c r="D26" s="361"/>
      <c r="E26" s="361"/>
      <c r="F26" s="361"/>
      <c r="G26" s="361"/>
      <c r="H26" s="361"/>
      <c r="I26" s="361"/>
      <c r="J26" s="361"/>
      <c r="K26" s="361"/>
      <c r="L26" s="361"/>
      <c r="M26" s="361"/>
    </row>
    <row r="27" spans="1:13" ht="13" x14ac:dyDescent="0.3">
      <c r="A27" s="659" t="s">
        <v>3295</v>
      </c>
      <c r="B27" s="661" t="s">
        <v>3296</v>
      </c>
      <c r="C27" s="660"/>
      <c r="D27" s="660"/>
      <c r="E27" s="660"/>
      <c r="F27" s="660"/>
      <c r="G27" s="660"/>
      <c r="H27" s="660"/>
      <c r="I27" s="660"/>
      <c r="J27" s="660"/>
      <c r="K27" s="660"/>
      <c r="L27" s="660"/>
      <c r="M27" s="660"/>
    </row>
    <row r="28" spans="1:13" ht="15" thickBot="1" x14ac:dyDescent="0.4">
      <c r="A28" s="659"/>
      <c r="B28" s="676"/>
      <c r="C28" s="676"/>
      <c r="D28" s="682"/>
      <c r="E28" s="361"/>
      <c r="F28" s="361"/>
      <c r="G28" s="361"/>
      <c r="H28" s="361"/>
      <c r="I28" s="361"/>
      <c r="J28" s="361"/>
      <c r="K28" s="361"/>
      <c r="L28" s="361"/>
      <c r="M28" s="361"/>
    </row>
    <row r="29" spans="1:13" ht="15" thickBot="1" x14ac:dyDescent="0.4">
      <c r="A29" s="659"/>
      <c r="B29" s="683" t="s">
        <v>3297</v>
      </c>
      <c r="C29" s="684"/>
      <c r="D29" s="675" t="s">
        <v>3293</v>
      </c>
      <c r="E29" s="685"/>
      <c r="F29" s="361"/>
      <c r="G29" s="361"/>
      <c r="H29" s="361"/>
      <c r="I29" s="361"/>
      <c r="J29" s="361"/>
      <c r="K29" s="361"/>
      <c r="L29" s="361"/>
      <c r="M29" s="361"/>
    </row>
    <row r="30" spans="1:13" ht="14.5" x14ac:dyDescent="0.35">
      <c r="A30" s="659"/>
      <c r="B30" s="686" t="s">
        <v>3132</v>
      </c>
      <c r="C30" s="687"/>
      <c r="D30" s="688">
        <f>CRD_PRETS_REGION_AUVERGNE_RHONE_ALPES_2016/CRD_PRETS_SELECTION</f>
        <v>0.10153175065659523</v>
      </c>
      <c r="E30" s="361"/>
      <c r="F30" s="361"/>
      <c r="G30" s="361"/>
      <c r="H30" s="361"/>
      <c r="I30" s="361"/>
      <c r="J30" s="361"/>
      <c r="K30" s="361"/>
      <c r="L30" s="361"/>
      <c r="M30" s="361"/>
    </row>
    <row r="31" spans="1:13" ht="14.5" x14ac:dyDescent="0.35">
      <c r="A31" s="659"/>
      <c r="B31" s="689" t="s">
        <v>3133</v>
      </c>
      <c r="C31" s="690"/>
      <c r="D31" s="691">
        <f>CRD_PRETS_REGION_BOURGOGNE_FRANCHE_COMTE_2016/CRD_PRETS_SELECTION</f>
        <v>7.8294033360744308E-3</v>
      </c>
      <c r="E31" s="361"/>
      <c r="F31" s="361"/>
      <c r="G31" s="361"/>
      <c r="H31" s="361"/>
      <c r="I31" s="361"/>
      <c r="J31" s="361"/>
      <c r="K31" s="361"/>
      <c r="L31" s="361"/>
      <c r="M31" s="361"/>
    </row>
    <row r="32" spans="1:13" ht="14.5" x14ac:dyDescent="0.35">
      <c r="A32" s="659"/>
      <c r="B32" s="689" t="s">
        <v>3134</v>
      </c>
      <c r="C32" s="690"/>
      <c r="D32" s="691">
        <f>CRD_PRETS_REGION_BRETAGNE_2016/CRD_PRETS_SELECTION</f>
        <v>1.4072664184554157E-2</v>
      </c>
      <c r="E32" s="361"/>
      <c r="F32" s="361"/>
      <c r="G32" s="361"/>
      <c r="H32" s="361"/>
      <c r="I32" s="361"/>
      <c r="J32" s="361"/>
      <c r="K32" s="361"/>
      <c r="L32" s="361"/>
      <c r="M32" s="361"/>
    </row>
    <row r="33" spans="1:13" ht="14.5" x14ac:dyDescent="0.35">
      <c r="A33" s="659"/>
      <c r="B33" s="689" t="s">
        <v>3135</v>
      </c>
      <c r="C33" s="690"/>
      <c r="D33" s="691">
        <f>CRD_PRETS_REGION_CENTRE_VAL_DE_LOIRE_2016/CRD_PRETS_SELECTION</f>
        <v>1.7115081111116447E-2</v>
      </c>
      <c r="E33" s="361"/>
      <c r="F33" s="361"/>
      <c r="G33" s="361"/>
      <c r="H33" s="361"/>
      <c r="I33" s="361"/>
      <c r="J33" s="361"/>
      <c r="K33" s="361"/>
      <c r="L33" s="361"/>
      <c r="M33" s="361"/>
    </row>
    <row r="34" spans="1:13" ht="14.5" x14ac:dyDescent="0.35">
      <c r="A34" s="659"/>
      <c r="B34" s="689" t="s">
        <v>3136</v>
      </c>
      <c r="C34" s="690"/>
      <c r="D34" s="692">
        <f>CRD_PRETS_REGION_CORSE_2016/CRD_PRETS_SELECTION</f>
        <v>2.8367790903703438E-3</v>
      </c>
      <c r="E34" s="361"/>
      <c r="F34" s="361"/>
      <c r="G34" s="361"/>
      <c r="H34" s="361"/>
      <c r="I34" s="361"/>
      <c r="J34" s="361"/>
      <c r="K34" s="361"/>
      <c r="L34" s="361"/>
      <c r="M34" s="361"/>
    </row>
    <row r="35" spans="1:13" ht="14.5" x14ac:dyDescent="0.35">
      <c r="A35" s="659"/>
      <c r="B35" s="689" t="s">
        <v>3137</v>
      </c>
      <c r="C35" s="690"/>
      <c r="D35" s="691">
        <f>CRD_PRETS_REGION_GRAND_EST_2016/CRD_PRETS_SELECTION</f>
        <v>2.467625544811294E-2</v>
      </c>
      <c r="E35" s="361"/>
      <c r="F35" s="361"/>
      <c r="G35" s="361"/>
      <c r="H35" s="361"/>
      <c r="I35" s="361"/>
      <c r="J35" s="361"/>
      <c r="K35" s="361"/>
      <c r="L35" s="361"/>
      <c r="M35" s="361"/>
    </row>
    <row r="36" spans="1:13" ht="14.5" x14ac:dyDescent="0.35">
      <c r="A36" s="659"/>
      <c r="B36" s="689" t="s">
        <v>3138</v>
      </c>
      <c r="C36" s="690"/>
      <c r="D36" s="691">
        <f>CRD_PRETS_REGION_HAUTS_DE_FRANCE_2016/CRD_PRETS_SELECTION</f>
        <v>6.8830413666355242E-2</v>
      </c>
      <c r="E36" s="361"/>
      <c r="F36" s="361"/>
      <c r="G36" s="361"/>
      <c r="H36" s="361"/>
      <c r="I36" s="361"/>
      <c r="J36" s="361"/>
      <c r="K36" s="361"/>
      <c r="L36" s="361"/>
      <c r="M36" s="361"/>
    </row>
    <row r="37" spans="1:13" ht="14.5" x14ac:dyDescent="0.35">
      <c r="A37" s="659"/>
      <c r="B37" s="689" t="s">
        <v>3139</v>
      </c>
      <c r="C37" s="690"/>
      <c r="D37" s="691">
        <f>CRD_PRETS_REGION_ILE_DE_FRANCE_2016/CRD_PRETS_SELECTION</f>
        <v>0.46263651448702336</v>
      </c>
      <c r="E37" s="361"/>
      <c r="F37" s="361"/>
      <c r="G37" s="361"/>
      <c r="H37" s="361"/>
      <c r="I37" s="361"/>
      <c r="J37" s="361"/>
      <c r="K37" s="361"/>
      <c r="L37" s="361"/>
      <c r="M37" s="361"/>
    </row>
    <row r="38" spans="1:13" ht="14.5" x14ac:dyDescent="0.35">
      <c r="A38" s="659"/>
      <c r="B38" s="689" t="s">
        <v>3140</v>
      </c>
      <c r="C38" s="690"/>
      <c r="D38" s="691">
        <f>CRD_PRETS_REGION_NORMANDIE_2016/CRD_PRETS_SELECTION</f>
        <v>2.0435205465306361E-2</v>
      </c>
      <c r="E38" s="676" t="s">
        <v>3298</v>
      </c>
      <c r="F38" s="361"/>
      <c r="G38" s="361"/>
      <c r="H38" s="361"/>
      <c r="I38" s="361"/>
      <c r="J38" s="361"/>
      <c r="K38" s="361"/>
      <c r="L38" s="361"/>
      <c r="M38" s="361"/>
    </row>
    <row r="39" spans="1:13" ht="14.5" x14ac:dyDescent="0.35">
      <c r="A39" s="659"/>
      <c r="B39" s="689" t="s">
        <v>3141</v>
      </c>
      <c r="C39" s="690"/>
      <c r="D39" s="691">
        <f>CRD_PRETS_REGION_NOUVELLE_AQUITAINE_2016/CRD_PRETS_SELECTION</f>
        <v>5.8029115517890924E-2</v>
      </c>
      <c r="E39" s="361"/>
      <c r="F39" s="361"/>
      <c r="G39" s="361"/>
      <c r="H39" s="361"/>
      <c r="I39" s="361"/>
      <c r="J39" s="361"/>
      <c r="K39" s="361"/>
      <c r="L39" s="361"/>
      <c r="M39" s="361"/>
    </row>
    <row r="40" spans="1:13" ht="14.5" x14ac:dyDescent="0.35">
      <c r="A40" s="659"/>
      <c r="B40" s="689" t="s">
        <v>3142</v>
      </c>
      <c r="C40" s="690"/>
      <c r="D40" s="691">
        <f>CRD_PRETS_REGION_OCCITANIE_2016/CRD_PRETS_SELECTION</f>
        <v>4.172346554956894E-2</v>
      </c>
      <c r="E40" s="676" t="s">
        <v>3298</v>
      </c>
      <c r="F40" s="361"/>
      <c r="G40" s="361"/>
      <c r="H40" s="361"/>
      <c r="I40" s="361"/>
      <c r="J40" s="361"/>
      <c r="K40" s="361"/>
      <c r="L40" s="361"/>
      <c r="M40" s="361"/>
    </row>
    <row r="41" spans="1:13" ht="14.5" x14ac:dyDescent="0.35">
      <c r="A41" s="659"/>
      <c r="B41" s="689" t="s">
        <v>3143</v>
      </c>
      <c r="C41" s="690"/>
      <c r="D41" s="691">
        <f>CRD_PRETS_REGION_PAYS_DE_LA_LOIRE_2016/CRD_PRETS_SELECTION</f>
        <v>2.7804080379195489E-2</v>
      </c>
      <c r="E41" s="361"/>
      <c r="F41" s="361"/>
      <c r="G41" s="361"/>
      <c r="H41" s="361"/>
      <c r="I41" s="361"/>
      <c r="J41" s="361"/>
      <c r="K41" s="361"/>
      <c r="L41" s="361"/>
      <c r="M41" s="361"/>
    </row>
    <row r="42" spans="1:13" ht="14.5" x14ac:dyDescent="0.35">
      <c r="A42" s="659"/>
      <c r="B42" s="689" t="s">
        <v>3144</v>
      </c>
      <c r="C42" s="690"/>
      <c r="D42" s="691">
        <f>CRD_PRETS_REGION_PROVENCE_ALPES_COTE_AZUR_2016/CRD_PRETS_SELECTION</f>
        <v>0.15247927110783613</v>
      </c>
      <c r="E42" s="361"/>
      <c r="F42" s="361"/>
      <c r="G42" s="361"/>
      <c r="H42" s="361"/>
      <c r="I42" s="361"/>
      <c r="J42" s="361"/>
      <c r="K42" s="361"/>
      <c r="L42" s="361"/>
      <c r="M42" s="361"/>
    </row>
    <row r="43" spans="1:13" ht="14.5" x14ac:dyDescent="0.35">
      <c r="A43" s="659"/>
      <c r="B43" s="689" t="s">
        <v>3145</v>
      </c>
      <c r="C43" s="690"/>
      <c r="D43" s="691">
        <v>0</v>
      </c>
      <c r="E43" s="361"/>
      <c r="F43" s="361"/>
      <c r="G43" s="361"/>
      <c r="H43" s="361"/>
      <c r="I43" s="361"/>
      <c r="J43" s="361"/>
      <c r="K43" s="361"/>
      <c r="L43" s="361"/>
      <c r="M43" s="361"/>
    </row>
    <row r="44" spans="1:13" ht="14.5" x14ac:dyDescent="0.35">
      <c r="A44" s="659"/>
      <c r="B44" s="689"/>
      <c r="C44" s="690"/>
      <c r="D44" s="691"/>
      <c r="E44" s="361"/>
      <c r="F44" s="361"/>
      <c r="G44" s="361"/>
      <c r="H44" s="361"/>
      <c r="I44" s="361"/>
      <c r="J44" s="361"/>
      <c r="K44" s="361"/>
      <c r="L44" s="361"/>
      <c r="M44" s="361"/>
    </row>
    <row r="45" spans="1:13" ht="14.5" x14ac:dyDescent="0.35">
      <c r="A45" s="659"/>
      <c r="B45" s="693" t="s">
        <v>1644</v>
      </c>
      <c r="C45" s="694"/>
      <c r="D45" s="691">
        <v>0</v>
      </c>
      <c r="E45" s="361"/>
      <c r="F45" s="361"/>
      <c r="G45" s="361"/>
      <c r="H45" s="361"/>
      <c r="I45" s="361"/>
      <c r="J45" s="361"/>
      <c r="K45" s="361"/>
      <c r="L45" s="361"/>
      <c r="M45" s="361"/>
    </row>
    <row r="46" spans="1:13" ht="15" thickBot="1" x14ac:dyDescent="0.4">
      <c r="A46" s="659"/>
      <c r="B46" s="695" t="s">
        <v>3299</v>
      </c>
      <c r="C46" s="696"/>
      <c r="D46" s="697">
        <v>0</v>
      </c>
      <c r="E46" s="361"/>
      <c r="F46" s="361"/>
      <c r="G46" s="361"/>
      <c r="H46" s="361"/>
      <c r="I46" s="361"/>
      <c r="J46" s="361"/>
      <c r="K46" s="361"/>
      <c r="L46" s="361"/>
      <c r="M46" s="361"/>
    </row>
    <row r="47" spans="1:13" ht="14.5" x14ac:dyDescent="0.35">
      <c r="A47" s="659"/>
      <c r="B47" s="676"/>
      <c r="C47" s="676"/>
      <c r="D47" s="361"/>
      <c r="E47" s="361"/>
      <c r="F47" s="361"/>
      <c r="G47" s="361"/>
      <c r="H47" s="361"/>
      <c r="I47" s="361"/>
      <c r="J47" s="361"/>
      <c r="K47" s="361"/>
      <c r="L47" s="361"/>
      <c r="M47" s="361"/>
    </row>
    <row r="48" spans="1:13" ht="14.5" x14ac:dyDescent="0.35">
      <c r="A48" s="659"/>
      <c r="B48" s="361"/>
      <c r="C48" s="361"/>
      <c r="D48" s="361"/>
      <c r="E48" s="361"/>
      <c r="F48" s="361"/>
      <c r="G48" s="361"/>
      <c r="H48" s="361"/>
      <c r="I48" s="361"/>
      <c r="J48" s="361"/>
      <c r="K48" s="361"/>
      <c r="L48" s="361"/>
      <c r="M48" s="361"/>
    </row>
    <row r="49" spans="1:22" s="488" customFormat="1" ht="13" x14ac:dyDescent="0.3">
      <c r="A49" s="659" t="s">
        <v>3300</v>
      </c>
      <c r="B49" s="661" t="s">
        <v>3301</v>
      </c>
      <c r="C49" s="671"/>
      <c r="D49" s="671"/>
      <c r="E49" s="671"/>
      <c r="F49" s="671"/>
      <c r="G49" s="671"/>
      <c r="H49" s="671"/>
      <c r="I49" s="671"/>
      <c r="J49" s="671"/>
      <c r="K49" s="671"/>
      <c r="L49" s="671"/>
      <c r="M49" s="671"/>
      <c r="U49" s="698"/>
      <c r="V49" s="698"/>
    </row>
    <row r="50" spans="1:22" s="488" customFormat="1" ht="13.5" thickBot="1" x14ac:dyDescent="0.35">
      <c r="A50" s="659"/>
      <c r="B50" s="661"/>
      <c r="C50" s="671"/>
      <c r="D50" s="671"/>
      <c r="E50" s="671"/>
      <c r="F50" s="671"/>
      <c r="G50" s="671"/>
      <c r="H50" s="671"/>
      <c r="I50" s="671"/>
      <c r="J50" s="671"/>
      <c r="K50" s="671"/>
      <c r="L50" s="671"/>
      <c r="M50" s="671"/>
      <c r="U50" s="698"/>
      <c r="V50" s="698"/>
    </row>
    <row r="51" spans="1:22" s="488" customFormat="1" ht="13.5" thickBot="1" x14ac:dyDescent="0.35">
      <c r="A51" s="659"/>
      <c r="B51" s="868" t="s">
        <v>3302</v>
      </c>
      <c r="C51" s="869"/>
      <c r="D51" s="699">
        <f>AVERAGE_CURRENT_UNINDEXED_LTV</f>
        <v>0.55941241296020983</v>
      </c>
      <c r="E51" s="685"/>
      <c r="F51" s="671"/>
      <c r="G51" s="671"/>
      <c r="H51" s="671"/>
      <c r="I51" s="671"/>
      <c r="J51" s="671"/>
      <c r="K51" s="671"/>
      <c r="L51" s="671"/>
      <c r="M51" s="671"/>
      <c r="U51" s="698"/>
      <c r="V51" s="698"/>
    </row>
    <row r="52" spans="1:22" ht="15" thickBot="1" x14ac:dyDescent="0.4">
      <c r="A52" s="659"/>
      <c r="B52" s="700"/>
      <c r="C52" s="700"/>
      <c r="D52" s="700"/>
      <c r="E52" s="870"/>
      <c r="F52" s="870"/>
      <c r="G52" s="671"/>
      <c r="H52" s="671"/>
      <c r="I52" s="361"/>
      <c r="J52" s="361"/>
      <c r="K52" s="361"/>
      <c r="L52" s="361"/>
      <c r="M52" s="361"/>
    </row>
    <row r="53" spans="1:22" ht="15" thickBot="1" x14ac:dyDescent="0.4">
      <c r="A53" s="659"/>
      <c r="B53" s="701"/>
      <c r="C53" s="702" t="s">
        <v>3303</v>
      </c>
      <c r="D53" s="703" t="s">
        <v>3293</v>
      </c>
      <c r="E53" s="677"/>
      <c r="F53" s="677"/>
      <c r="G53" s="671"/>
      <c r="H53" s="671"/>
      <c r="I53" s="361"/>
      <c r="J53" s="217"/>
      <c r="K53" s="361"/>
      <c r="L53" s="361"/>
      <c r="M53" s="361"/>
    </row>
    <row r="54" spans="1:22" ht="14.5" x14ac:dyDescent="0.35">
      <c r="A54" s="659"/>
      <c r="B54" s="704" t="s">
        <v>3304</v>
      </c>
      <c r="C54" s="705" t="s">
        <v>3305</v>
      </c>
      <c r="D54" s="688">
        <f>CRD_PRETS__0_UNINDEXED_LTV_40/CRD_PRETS_SELECTION</f>
        <v>0.23788816277600852</v>
      </c>
      <c r="E54" s="361"/>
      <c r="F54" s="361"/>
      <c r="G54" s="706"/>
      <c r="H54" s="706"/>
      <c r="I54" s="361"/>
      <c r="J54" s="361"/>
      <c r="K54" s="361"/>
      <c r="L54" s="361"/>
      <c r="M54" s="361"/>
    </row>
    <row r="55" spans="1:22" ht="14.5" x14ac:dyDescent="0.35">
      <c r="A55" s="659"/>
      <c r="B55" s="707"/>
      <c r="C55" s="708" t="s">
        <v>3306</v>
      </c>
      <c r="D55" s="691">
        <f>CRD_PRETS__40_UNINDEXED_LTV_50/CRD_PRETS_SELECTION</f>
        <v>0.15026445731456495</v>
      </c>
      <c r="E55" s="361"/>
      <c r="F55" s="361"/>
      <c r="G55" s="706"/>
      <c r="H55" s="706"/>
      <c r="I55" s="361"/>
      <c r="J55" s="361"/>
      <c r="K55" s="361"/>
      <c r="L55" s="361"/>
      <c r="M55" s="361"/>
    </row>
    <row r="56" spans="1:22" ht="14.5" x14ac:dyDescent="0.35">
      <c r="A56" s="659"/>
      <c r="B56" s="707"/>
      <c r="C56" s="708" t="s">
        <v>3307</v>
      </c>
      <c r="D56" s="691">
        <f>CRD_PRETS__50_UNINDEXED_LTV_60/CRD_PRETS_SELECTION</f>
        <v>0.16506141909019631</v>
      </c>
      <c r="E56" s="361"/>
      <c r="F56" s="361"/>
      <c r="G56" s="706"/>
      <c r="H56" s="706"/>
      <c r="I56" s="361"/>
      <c r="J56" s="361"/>
      <c r="K56" s="361"/>
      <c r="L56" s="361"/>
      <c r="M56" s="361"/>
    </row>
    <row r="57" spans="1:22" ht="14.5" x14ac:dyDescent="0.35">
      <c r="A57" s="659"/>
      <c r="B57" s="707"/>
      <c r="C57" s="708" t="s">
        <v>3308</v>
      </c>
      <c r="D57" s="691">
        <f>CRD_PRETS__60_UNINDEXED_LTV_70/CRD_PRETS_SELECTION</f>
        <v>0.16961560940428216</v>
      </c>
      <c r="E57" s="361"/>
      <c r="F57" s="361"/>
      <c r="G57" s="706"/>
      <c r="H57" s="706"/>
      <c r="I57" s="361"/>
      <c r="J57" s="361"/>
      <c r="K57" s="361"/>
      <c r="L57" s="361"/>
      <c r="M57" s="361"/>
    </row>
    <row r="58" spans="1:22" ht="14.5" x14ac:dyDescent="0.35">
      <c r="A58" s="659"/>
      <c r="B58" s="707"/>
      <c r="C58" s="708" t="s">
        <v>3309</v>
      </c>
      <c r="D58" s="691">
        <f>CRD_PRETS__70_UNINDEXED_LTV_80/CRD_PRETS_SELECTION</f>
        <v>0.14202953943162921</v>
      </c>
      <c r="E58" s="361"/>
      <c r="F58" s="361"/>
      <c r="G58" s="706"/>
      <c r="H58" s="706"/>
      <c r="I58" s="361"/>
      <c r="J58" s="361"/>
      <c r="K58" s="361"/>
      <c r="L58" s="361"/>
      <c r="M58" s="361"/>
    </row>
    <row r="59" spans="1:22" ht="14.5" x14ac:dyDescent="0.35">
      <c r="A59" s="659"/>
      <c r="B59" s="707"/>
      <c r="C59" s="708" t="s">
        <v>3310</v>
      </c>
      <c r="D59" s="691">
        <f>CRD_PRETS__80_UNINDEXED_LTV_85/CRD_PRETS_SELECTION</f>
        <v>5.1095206571159818E-2</v>
      </c>
      <c r="E59" s="361"/>
      <c r="F59" s="361"/>
      <c r="G59" s="706"/>
      <c r="H59" s="706"/>
      <c r="I59" s="361"/>
      <c r="J59" s="361"/>
      <c r="K59" s="361"/>
      <c r="L59" s="361"/>
      <c r="M59" s="361"/>
    </row>
    <row r="60" spans="1:22" ht="14.5" x14ac:dyDescent="0.35">
      <c r="A60" s="659"/>
      <c r="B60" s="707"/>
      <c r="C60" s="708" t="s">
        <v>3311</v>
      </c>
      <c r="D60" s="691">
        <f>CRD_PRETS__85_UNINDEXED_LTV_90/CRD_PRETS_SELECTION</f>
        <v>4.126331344313057E-2</v>
      </c>
      <c r="E60" s="361"/>
      <c r="F60" s="361"/>
      <c r="G60" s="706"/>
      <c r="H60" s="706"/>
      <c r="I60" s="361"/>
      <c r="J60" s="361"/>
      <c r="K60" s="361"/>
      <c r="L60" s="361"/>
      <c r="M60" s="361"/>
    </row>
    <row r="61" spans="1:22" ht="14.5" x14ac:dyDescent="0.35">
      <c r="A61" s="659"/>
      <c r="B61" s="707"/>
      <c r="C61" s="708" t="s">
        <v>3312</v>
      </c>
      <c r="D61" s="691">
        <f>CRD_PRETS__90_UNINDEXED_LTV_95/CRD_PRETS_SELECTION</f>
        <v>2.8765056777700217E-2</v>
      </c>
      <c r="E61" s="361"/>
      <c r="F61" s="361"/>
      <c r="G61" s="706"/>
      <c r="H61" s="706"/>
      <c r="I61" s="361"/>
      <c r="J61" s="361"/>
      <c r="K61" s="361"/>
      <c r="L61" s="361"/>
      <c r="M61" s="361"/>
    </row>
    <row r="62" spans="1:22" ht="14.5" x14ac:dyDescent="0.35">
      <c r="A62" s="659"/>
      <c r="B62" s="707"/>
      <c r="C62" s="708" t="s">
        <v>3313</v>
      </c>
      <c r="D62" s="691">
        <f>CRD_PRETS__95_UNINDEXED_LTV_100/CRD_PRETS_SELECTION</f>
        <v>1.0385083971674444E-2</v>
      </c>
      <c r="E62" s="361"/>
      <c r="F62" s="361"/>
      <c r="G62" s="706"/>
      <c r="H62" s="706"/>
      <c r="I62" s="361"/>
      <c r="J62" s="361"/>
      <c r="K62" s="361"/>
      <c r="L62" s="361"/>
      <c r="M62" s="361"/>
    </row>
    <row r="63" spans="1:22" ht="14.5" x14ac:dyDescent="0.35">
      <c r="A63" s="659"/>
      <c r="B63" s="707"/>
      <c r="C63" s="708" t="s">
        <v>3314</v>
      </c>
      <c r="D63" s="691">
        <f>CRD_PRETS__100_UNINDEXED_LTV_105/CRD_PRETS_SELECTION</f>
        <v>3.5843718783799333E-3</v>
      </c>
      <c r="E63" s="361"/>
      <c r="F63" s="361"/>
      <c r="G63" s="706"/>
      <c r="H63" s="706"/>
      <c r="I63" s="361"/>
      <c r="J63" s="361"/>
      <c r="K63" s="361"/>
      <c r="L63" s="361"/>
      <c r="M63" s="361"/>
    </row>
    <row r="64" spans="1:22" ht="14.5" x14ac:dyDescent="0.35">
      <c r="A64" s="659"/>
      <c r="B64" s="707"/>
      <c r="C64" s="708" t="s">
        <v>3315</v>
      </c>
      <c r="D64" s="691">
        <f>CRD_PRETS__105_UNINDEXED_LTV_110/CRD_PRETS_SELECTION</f>
        <v>4.0046003207078038E-5</v>
      </c>
      <c r="E64" s="361"/>
      <c r="F64" s="361"/>
      <c r="G64" s="706"/>
      <c r="H64" s="706"/>
      <c r="I64" s="361"/>
      <c r="J64" s="361"/>
      <c r="K64" s="361"/>
      <c r="L64" s="361"/>
      <c r="M64" s="361"/>
    </row>
    <row r="65" spans="1:22" ht="14.5" x14ac:dyDescent="0.35">
      <c r="A65" s="659"/>
      <c r="B65" s="707"/>
      <c r="C65" s="708" t="s">
        <v>3316</v>
      </c>
      <c r="D65" s="691">
        <f>CRD_PRETS__110_UNINDEXED_LTV_115/CRD_PRETS_SELECTION</f>
        <v>5.7799796320165124E-6</v>
      </c>
      <c r="E65" s="361"/>
      <c r="F65" s="361"/>
      <c r="G65" s="706"/>
      <c r="H65" s="706"/>
      <c r="I65" s="361"/>
      <c r="J65" s="361"/>
      <c r="K65" s="361"/>
      <c r="L65" s="361"/>
      <c r="M65" s="361"/>
    </row>
    <row r="66" spans="1:22" ht="15" thickBot="1" x14ac:dyDescent="0.4">
      <c r="A66" s="659"/>
      <c r="B66" s="669"/>
      <c r="C66" s="709" t="s">
        <v>3317</v>
      </c>
      <c r="D66" s="697">
        <f>CRD_PRETS__115_UNINDEXED_LTV/CRD_PRETS_SELECTION</f>
        <v>1.9533584347723276E-6</v>
      </c>
      <c r="E66" s="361"/>
      <c r="F66" s="361"/>
      <c r="G66" s="706"/>
      <c r="H66" s="706"/>
      <c r="I66" s="361"/>
      <c r="J66" s="361"/>
      <c r="K66" s="361"/>
      <c r="L66" s="361"/>
      <c r="M66" s="361"/>
    </row>
    <row r="67" spans="1:22" ht="14.5" x14ac:dyDescent="0.35">
      <c r="A67" s="659"/>
      <c r="B67" s="361"/>
      <c r="C67" s="361"/>
      <c r="D67" s="361"/>
      <c r="E67" s="361"/>
      <c r="F67" s="361"/>
      <c r="G67" s="706"/>
      <c r="H67" s="706"/>
      <c r="I67" s="361"/>
      <c r="J67" s="361"/>
      <c r="K67" s="361"/>
      <c r="L67" s="361"/>
      <c r="M67" s="361"/>
    </row>
    <row r="68" spans="1:22" ht="14.5" x14ac:dyDescent="0.35">
      <c r="A68" s="659"/>
      <c r="B68" s="361"/>
      <c r="C68" s="361"/>
      <c r="D68" s="361"/>
      <c r="E68" s="361"/>
      <c r="F68" s="361"/>
      <c r="G68" s="706"/>
      <c r="H68" s="706"/>
      <c r="I68" s="361"/>
      <c r="J68" s="361"/>
      <c r="K68" s="361"/>
      <c r="L68" s="361"/>
      <c r="M68" s="361"/>
    </row>
    <row r="69" spans="1:22" s="488" customFormat="1" ht="13" x14ac:dyDescent="0.3">
      <c r="A69" s="659" t="s">
        <v>3318</v>
      </c>
      <c r="B69" s="661" t="s">
        <v>3319</v>
      </c>
      <c r="C69" s="671"/>
      <c r="D69" s="671"/>
      <c r="E69" s="671"/>
      <c r="F69" s="671"/>
      <c r="G69" s="710"/>
      <c r="H69" s="710"/>
      <c r="I69" s="671"/>
      <c r="J69" s="671"/>
      <c r="K69" s="671"/>
      <c r="L69" s="671"/>
      <c r="M69" s="671"/>
      <c r="U69" s="698"/>
      <c r="V69" s="698"/>
    </row>
    <row r="70" spans="1:22" s="488" customFormat="1" ht="13.5" thickBot="1" x14ac:dyDescent="0.35">
      <c r="A70" s="659"/>
      <c r="B70" s="661"/>
      <c r="C70" s="671"/>
      <c r="D70" s="671"/>
      <c r="E70" s="671"/>
      <c r="F70" s="671"/>
      <c r="G70" s="710"/>
      <c r="H70" s="710"/>
      <c r="I70" s="671"/>
      <c r="J70" s="671"/>
      <c r="K70" s="671"/>
      <c r="L70" s="671"/>
      <c r="M70" s="671"/>
      <c r="U70" s="698"/>
      <c r="V70" s="698"/>
    </row>
    <row r="71" spans="1:22" s="488" customFormat="1" ht="13.5" thickBot="1" x14ac:dyDescent="0.35">
      <c r="A71" s="659"/>
      <c r="B71" s="871" t="s">
        <v>3320</v>
      </c>
      <c r="C71" s="872"/>
      <c r="D71" s="711">
        <f>AVERAGE_CURRENT_INDEXED_LTV</f>
        <v>0.47392885644310023</v>
      </c>
      <c r="E71" s="685"/>
      <c r="F71" s="671"/>
      <c r="G71" s="710"/>
      <c r="H71" s="710"/>
      <c r="I71" s="671"/>
      <c r="J71" s="671"/>
      <c r="K71" s="671"/>
      <c r="L71" s="671"/>
      <c r="M71" s="671"/>
      <c r="U71" s="698"/>
      <c r="V71" s="698"/>
    </row>
    <row r="72" spans="1:22" s="488" customFormat="1" ht="13.5" thickBot="1" x14ac:dyDescent="0.35">
      <c r="A72" s="659"/>
      <c r="B72" s="661"/>
      <c r="C72" s="671"/>
      <c r="D72" s="671"/>
      <c r="E72" s="671"/>
      <c r="F72" s="671"/>
      <c r="G72" s="710"/>
      <c r="H72" s="710"/>
      <c r="I72" s="671"/>
      <c r="J72" s="671"/>
      <c r="K72" s="671"/>
      <c r="L72" s="671"/>
      <c r="M72" s="671"/>
      <c r="U72" s="698"/>
      <c r="V72" s="698"/>
    </row>
    <row r="73" spans="1:22" ht="15" thickBot="1" x14ac:dyDescent="0.4">
      <c r="A73" s="659"/>
      <c r="B73" s="701"/>
      <c r="C73" s="702" t="s">
        <v>3303</v>
      </c>
      <c r="D73" s="703" t="s">
        <v>3293</v>
      </c>
      <c r="E73" s="677"/>
      <c r="F73" s="677"/>
      <c r="G73" s="217"/>
      <c r="H73" s="217"/>
      <c r="I73" s="361"/>
      <c r="J73" s="361"/>
      <c r="K73" s="361"/>
      <c r="L73" s="361"/>
      <c r="M73" s="361"/>
    </row>
    <row r="74" spans="1:22" ht="14.5" x14ac:dyDescent="0.35">
      <c r="A74" s="659"/>
      <c r="B74" s="665" t="s">
        <v>3304</v>
      </c>
      <c r="C74" s="712" t="s">
        <v>3305</v>
      </c>
      <c r="D74" s="713">
        <f>CRD_PRETS__0_INDEXED_LTV_40/CRD_PRETS_SELECTION</f>
        <v>0.36965570079075027</v>
      </c>
      <c r="E74" s="361"/>
      <c r="F74" s="361"/>
      <c r="G74" s="361"/>
      <c r="H74" s="361"/>
      <c r="I74" s="361"/>
      <c r="J74" s="361"/>
      <c r="K74" s="361"/>
      <c r="L74" s="361"/>
      <c r="M74" s="361"/>
    </row>
    <row r="75" spans="1:22" ht="14.5" x14ac:dyDescent="0.35">
      <c r="A75" s="659"/>
      <c r="B75" s="704"/>
      <c r="C75" s="705" t="s">
        <v>3306</v>
      </c>
      <c r="D75" s="713">
        <f>CRD_PRETS__40_INDEXED_LTV_50/CRD_PRETS_SELECTION</f>
        <v>0.19630150580434863</v>
      </c>
      <c r="E75" s="361"/>
      <c r="F75" s="361"/>
      <c r="G75" s="361"/>
      <c r="H75" s="361"/>
      <c r="I75" s="361"/>
      <c r="J75" s="361"/>
      <c r="K75" s="361"/>
      <c r="L75" s="361"/>
      <c r="M75" s="361"/>
    </row>
    <row r="76" spans="1:22" ht="14.5" x14ac:dyDescent="0.35">
      <c r="A76" s="659"/>
      <c r="B76" s="707"/>
      <c r="C76" s="708" t="s">
        <v>3307</v>
      </c>
      <c r="D76" s="713">
        <f>CRD_PRETS__50_INDEXED_LTV_60/CRD_PRETS_SELECTION</f>
        <v>0.17541861147791518</v>
      </c>
      <c r="E76" s="361"/>
      <c r="F76" s="361"/>
      <c r="G76" s="361"/>
      <c r="H76" s="361"/>
      <c r="I76" s="361"/>
      <c r="J76" s="361"/>
      <c r="K76" s="361"/>
      <c r="L76" s="361"/>
      <c r="M76" s="361"/>
    </row>
    <row r="77" spans="1:22" ht="14.5" x14ac:dyDescent="0.35">
      <c r="A77" s="659"/>
      <c r="B77" s="707"/>
      <c r="C77" s="708" t="s">
        <v>3308</v>
      </c>
      <c r="D77" s="713">
        <f>CRD_PRETS__60_INDEXED_LTV_70/CRD_PRETS_SELECTION</f>
        <v>0.12227790595751087</v>
      </c>
      <c r="E77" s="361"/>
      <c r="F77" s="361"/>
      <c r="G77" s="361"/>
      <c r="H77" s="361"/>
      <c r="I77" s="361"/>
      <c r="J77" s="361"/>
      <c r="K77" s="361"/>
      <c r="L77" s="361"/>
      <c r="M77" s="361"/>
    </row>
    <row r="78" spans="1:22" ht="14.5" x14ac:dyDescent="0.35">
      <c r="A78" s="659"/>
      <c r="B78" s="707"/>
      <c r="C78" s="708" t="s">
        <v>3309</v>
      </c>
      <c r="D78" s="713">
        <f>CRD_PRETS__70_INDEXED_LTV_80/CRD_PRETS_SELECTION</f>
        <v>7.6126549854819883E-2</v>
      </c>
      <c r="E78" s="361"/>
      <c r="F78" s="361"/>
      <c r="G78" s="361"/>
      <c r="H78" s="361"/>
      <c r="I78" s="361"/>
      <c r="J78" s="361"/>
      <c r="K78" s="361"/>
      <c r="L78" s="361"/>
      <c r="M78" s="361"/>
    </row>
    <row r="79" spans="1:22" ht="14.5" x14ac:dyDescent="0.35">
      <c r="A79" s="659"/>
      <c r="B79" s="707"/>
      <c r="C79" s="708" t="s">
        <v>3310</v>
      </c>
      <c r="D79" s="713">
        <f>CRD_PRETS__80_INDEXED_LTV_85/CRD_PRETS_SELECTION</f>
        <v>2.2937056119966676E-2</v>
      </c>
      <c r="E79" s="361"/>
      <c r="F79" s="361"/>
      <c r="G79" s="361"/>
      <c r="H79" s="361"/>
      <c r="I79" s="361"/>
      <c r="J79" s="361"/>
      <c r="K79" s="361"/>
      <c r="L79" s="361"/>
      <c r="M79" s="361"/>
    </row>
    <row r="80" spans="1:22" ht="14.5" x14ac:dyDescent="0.35">
      <c r="A80" s="659"/>
      <c r="B80" s="707"/>
      <c r="C80" s="708" t="s">
        <v>3311</v>
      </c>
      <c r="D80" s="713">
        <f>CRD_PRETS__85_INDEXED_LTV_90/CRD_PRETS_SELECTION</f>
        <v>1.8682612545456497E-2</v>
      </c>
      <c r="E80" s="361"/>
      <c r="F80" s="361"/>
      <c r="G80" s="361"/>
      <c r="H80" s="361"/>
      <c r="I80" s="361"/>
      <c r="J80" s="361"/>
      <c r="K80" s="361"/>
      <c r="L80" s="361"/>
      <c r="M80" s="361"/>
    </row>
    <row r="81" spans="1:13" ht="14.5" x14ac:dyDescent="0.35">
      <c r="A81" s="659"/>
      <c r="B81" s="707"/>
      <c r="C81" s="708" t="s">
        <v>3312</v>
      </c>
      <c r="D81" s="713">
        <f>CRD_PRETS__90_INDEXED_LTV_95/CRD_PRETS_SELECTION</f>
        <v>1.2283959577106755E-2</v>
      </c>
      <c r="E81" s="361"/>
      <c r="F81" s="361"/>
      <c r="G81" s="361"/>
      <c r="H81" s="361"/>
      <c r="I81" s="361"/>
      <c r="J81" s="361"/>
      <c r="K81" s="361"/>
      <c r="L81" s="361"/>
      <c r="M81" s="361"/>
    </row>
    <row r="82" spans="1:13" ht="14.5" x14ac:dyDescent="0.35">
      <c r="A82" s="659"/>
      <c r="B82" s="707"/>
      <c r="C82" s="708" t="s">
        <v>3313</v>
      </c>
      <c r="D82" s="713">
        <f>CRD_PRETS__95_INDEXED_LTV_100/CRD_PRETS_SELECTION</f>
        <v>6.3160978721252129E-3</v>
      </c>
      <c r="E82" s="361"/>
      <c r="F82" s="361"/>
      <c r="G82" s="361"/>
      <c r="H82" s="361"/>
      <c r="I82" s="361"/>
      <c r="J82" s="361"/>
      <c r="K82" s="361"/>
      <c r="L82" s="361"/>
      <c r="M82" s="361"/>
    </row>
    <row r="83" spans="1:13" ht="14.5" x14ac:dyDescent="0.35">
      <c r="A83" s="659"/>
      <c r="B83" s="707"/>
      <c r="C83" s="708" t="s">
        <v>3314</v>
      </c>
      <c r="D83" s="713">
        <f>CRD_PRETS__100_INDEXED_LTV_105/CRD_PRETS_SELECTION</f>
        <v>0</v>
      </c>
      <c r="E83" s="361"/>
      <c r="F83" s="361"/>
      <c r="G83" s="361"/>
      <c r="H83" s="361"/>
      <c r="I83" s="361"/>
      <c r="J83" s="361"/>
      <c r="K83" s="361"/>
      <c r="L83" s="361"/>
      <c r="M83" s="361"/>
    </row>
    <row r="84" spans="1:13" ht="14.5" x14ac:dyDescent="0.35">
      <c r="A84" s="659"/>
      <c r="B84" s="707"/>
      <c r="C84" s="708" t="s">
        <v>3315</v>
      </c>
      <c r="D84" s="713">
        <f>CRD_PRETS__105_INDEXED_LTV_110/CRD_PRETS_SELECTION</f>
        <v>0</v>
      </c>
      <c r="E84" s="361"/>
      <c r="F84" s="361"/>
      <c r="G84" s="361"/>
      <c r="H84" s="361"/>
      <c r="I84" s="361"/>
      <c r="J84" s="361"/>
      <c r="K84" s="361"/>
      <c r="L84" s="361"/>
      <c r="M84" s="361"/>
    </row>
    <row r="85" spans="1:13" ht="14.5" x14ac:dyDescent="0.35">
      <c r="A85" s="659"/>
      <c r="B85" s="707"/>
      <c r="C85" s="708" t="s">
        <v>3316</v>
      </c>
      <c r="D85" s="713">
        <f>CRD_PRETS__110_INDEXED_LTV_115/CRD_PRETS_SELECTION</f>
        <v>0</v>
      </c>
      <c r="E85" s="714"/>
      <c r="F85" s="361"/>
      <c r="G85" s="361"/>
      <c r="H85" s="361"/>
      <c r="I85" s="361"/>
      <c r="J85" s="361"/>
      <c r="K85" s="361"/>
      <c r="L85" s="361"/>
      <c r="M85" s="361"/>
    </row>
    <row r="86" spans="1:13" ht="15" thickBot="1" x14ac:dyDescent="0.4">
      <c r="A86" s="659"/>
      <c r="B86" s="707"/>
      <c r="C86" s="715" t="s">
        <v>3317</v>
      </c>
      <c r="D86" s="716">
        <f>CRD_PRETS__115_INDEXED_LTV/CRD_PRETS_SELECTION</f>
        <v>0</v>
      </c>
      <c r="E86" s="361"/>
      <c r="F86" s="361"/>
      <c r="G86" s="361"/>
      <c r="H86" s="361"/>
      <c r="I86" s="361"/>
      <c r="J86" s="361"/>
      <c r="K86" s="361"/>
      <c r="L86" s="361"/>
      <c r="M86" s="361"/>
    </row>
    <row r="87" spans="1:13" ht="14.5" x14ac:dyDescent="0.35">
      <c r="A87" s="659"/>
      <c r="B87" s="717"/>
      <c r="C87" s="717"/>
      <c r="D87" s="361"/>
      <c r="E87" s="361"/>
      <c r="F87" s="361"/>
      <c r="G87" s="361"/>
      <c r="H87" s="361"/>
      <c r="I87" s="361"/>
      <c r="J87" s="361"/>
      <c r="K87" s="361"/>
      <c r="L87" s="361"/>
      <c r="M87" s="361"/>
    </row>
    <row r="88" spans="1:13" ht="14.5" x14ac:dyDescent="0.35">
      <c r="A88" s="659"/>
      <c r="B88" s="676"/>
      <c r="C88" s="676"/>
      <c r="D88" s="714"/>
      <c r="E88" s="714"/>
      <c r="F88" s="361"/>
      <c r="G88" s="361"/>
      <c r="H88" s="361"/>
      <c r="I88" s="361"/>
      <c r="J88" s="361"/>
      <c r="K88" s="361"/>
      <c r="L88" s="361"/>
      <c r="M88" s="361"/>
    </row>
    <row r="89" spans="1:13" ht="14.5" x14ac:dyDescent="0.35">
      <c r="A89" s="659" t="s">
        <v>3321</v>
      </c>
      <c r="B89" s="661" t="s">
        <v>3322</v>
      </c>
      <c r="C89" s="361"/>
      <c r="D89" s="361"/>
      <c r="E89" s="361"/>
      <c r="F89" s="361"/>
      <c r="G89" s="361"/>
      <c r="H89" s="361"/>
      <c r="I89" s="361"/>
      <c r="J89" s="361"/>
      <c r="K89" s="361"/>
      <c r="L89" s="361"/>
      <c r="M89" s="361"/>
    </row>
    <row r="90" spans="1:13" ht="15" thickBot="1" x14ac:dyDescent="0.4">
      <c r="A90" s="659"/>
      <c r="B90" s="661"/>
      <c r="C90" s="361"/>
      <c r="D90" s="718"/>
      <c r="E90" s="718"/>
      <c r="F90" s="361"/>
      <c r="G90" s="361"/>
      <c r="H90" s="361"/>
      <c r="I90" s="361"/>
      <c r="J90" s="361"/>
      <c r="K90" s="361"/>
      <c r="L90" s="361"/>
      <c r="M90" s="361"/>
    </row>
    <row r="91" spans="1:13" ht="15" thickBot="1" x14ac:dyDescent="0.4">
      <c r="A91" s="659"/>
      <c r="B91" s="361"/>
      <c r="C91" s="361"/>
      <c r="D91" s="361"/>
      <c r="E91" s="719" t="s">
        <v>3293</v>
      </c>
      <c r="F91" s="677"/>
      <c r="G91" s="217"/>
      <c r="H91" s="361"/>
      <c r="I91" s="361"/>
      <c r="J91" s="361"/>
      <c r="K91" s="361"/>
      <c r="L91" s="361"/>
      <c r="M91" s="361"/>
    </row>
    <row r="92" spans="1:13" ht="14.5" x14ac:dyDescent="0.35">
      <c r="A92" s="720"/>
      <c r="B92" s="721" t="s">
        <v>3323</v>
      </c>
      <c r="C92" s="687"/>
      <c r="D92" s="722"/>
      <c r="E92" s="723">
        <v>0</v>
      </c>
      <c r="F92" s="361"/>
      <c r="G92" s="361"/>
      <c r="H92" s="361"/>
      <c r="I92" s="361"/>
      <c r="J92" s="361"/>
      <c r="K92" s="361"/>
      <c r="L92" s="361"/>
      <c r="M92" s="361"/>
    </row>
    <row r="93" spans="1:13" ht="15" thickBot="1" x14ac:dyDescent="0.4">
      <c r="A93" s="720"/>
      <c r="B93" s="724" t="s">
        <v>3324</v>
      </c>
      <c r="C93" s="725"/>
      <c r="D93" s="726"/>
      <c r="E93" s="727">
        <f>CRD_PRETS__GARANTIE_HYPOTHEQUE/CRD_PRETS_SELECTION</f>
        <v>0</v>
      </c>
      <c r="F93" s="728"/>
      <c r="G93" s="361"/>
      <c r="H93" s="361"/>
      <c r="I93" s="361"/>
      <c r="J93" s="361"/>
      <c r="K93" s="361"/>
      <c r="L93" s="361"/>
      <c r="M93" s="361"/>
    </row>
    <row r="94" spans="1:13" ht="15" thickBot="1" x14ac:dyDescent="0.4">
      <c r="A94" s="720"/>
      <c r="B94" s="729"/>
      <c r="C94" s="684"/>
      <c r="D94" s="730" t="s">
        <v>3325</v>
      </c>
      <c r="E94" s="731">
        <f>SUM(E92:E93)</f>
        <v>0</v>
      </c>
      <c r="F94" s="361"/>
      <c r="G94" s="361"/>
      <c r="H94" s="361"/>
      <c r="I94" s="361"/>
      <c r="J94" s="361"/>
      <c r="K94" s="361"/>
      <c r="L94" s="361"/>
      <c r="M94" s="361"/>
    </row>
    <row r="95" spans="1:13" ht="15" thickBot="1" x14ac:dyDescent="0.4">
      <c r="A95" s="659"/>
      <c r="B95" s="732" t="s">
        <v>3326</v>
      </c>
      <c r="C95" s="873" t="s">
        <v>3327</v>
      </c>
      <c r="D95" s="874"/>
      <c r="E95" s="733">
        <f>CRD_PRETS__GARANTIE_CREDIT_LOGEMENT/CRD_PRETS_SELECTION</f>
        <v>1</v>
      </c>
      <c r="F95" s="728"/>
      <c r="G95" s="361"/>
      <c r="H95" s="361"/>
      <c r="I95" s="361"/>
      <c r="J95" s="361"/>
      <c r="K95" s="361"/>
      <c r="L95" s="361"/>
      <c r="M95" s="361"/>
    </row>
    <row r="96" spans="1:13" ht="15" thickBot="1" x14ac:dyDescent="0.4">
      <c r="A96" s="659"/>
      <c r="B96" s="734"/>
      <c r="C96" s="684"/>
      <c r="D96" s="730" t="s">
        <v>3328</v>
      </c>
      <c r="E96" s="731">
        <f>E95</f>
        <v>1</v>
      </c>
      <c r="F96" s="361"/>
      <c r="G96" s="361"/>
      <c r="H96" s="361"/>
      <c r="I96" s="361"/>
      <c r="J96" s="361"/>
      <c r="K96" s="361"/>
      <c r="L96" s="361"/>
      <c r="M96" s="361"/>
    </row>
    <row r="97" spans="1:13" ht="14.5" x14ac:dyDescent="0.35">
      <c r="A97" s="659"/>
      <c r="B97" s="735"/>
      <c r="C97" s="361"/>
      <c r="D97" s="361" t="s">
        <v>3329</v>
      </c>
      <c r="E97" s="736" t="s">
        <v>3329</v>
      </c>
      <c r="F97" s="361" t="s">
        <v>3329</v>
      </c>
      <c r="G97" s="361" t="s">
        <v>3329</v>
      </c>
      <c r="H97" s="361" t="s">
        <v>3329</v>
      </c>
      <c r="I97" s="361" t="s">
        <v>3329</v>
      </c>
      <c r="J97" s="361" t="s">
        <v>3329</v>
      </c>
      <c r="K97" s="361" t="s">
        <v>3329</v>
      </c>
      <c r="L97" s="361"/>
      <c r="M97" s="361"/>
    </row>
    <row r="98" spans="1:13" ht="14.5" x14ac:dyDescent="0.35">
      <c r="A98" s="659"/>
      <c r="B98" s="735"/>
      <c r="C98" s="361"/>
      <c r="D98" s="361"/>
      <c r="E98" s="361"/>
      <c r="F98" s="361"/>
      <c r="G98" s="361"/>
      <c r="H98" s="361" t="s">
        <v>3329</v>
      </c>
      <c r="I98" s="361"/>
      <c r="J98" s="361"/>
      <c r="K98" s="361"/>
      <c r="L98" s="361"/>
      <c r="M98" s="361"/>
    </row>
    <row r="99" spans="1:13" ht="14.5" x14ac:dyDescent="0.35">
      <c r="A99" s="659" t="s">
        <v>3330</v>
      </c>
      <c r="B99" s="672" t="s">
        <v>3331</v>
      </c>
      <c r="C99" s="361"/>
      <c r="D99" s="685"/>
      <c r="E99" s="361"/>
      <c r="F99" s="361"/>
      <c r="G99" s="361"/>
      <c r="H99" s="361"/>
      <c r="I99" s="361"/>
      <c r="J99" s="361"/>
      <c r="K99" s="361"/>
      <c r="L99" s="361"/>
      <c r="M99" s="361"/>
    </row>
    <row r="100" spans="1:13" ht="15" thickBot="1" x14ac:dyDescent="0.4">
      <c r="A100" s="659"/>
      <c r="B100" s="672"/>
      <c r="C100" s="361"/>
      <c r="D100" s="361"/>
      <c r="E100" s="361"/>
      <c r="F100" s="361"/>
      <c r="G100" s="361"/>
      <c r="H100" s="361"/>
      <c r="I100" s="361"/>
      <c r="J100" s="361"/>
      <c r="K100" s="361"/>
      <c r="L100" s="361"/>
      <c r="M100" s="361"/>
    </row>
    <row r="101" spans="1:13" ht="15" thickBot="1" x14ac:dyDescent="0.4">
      <c r="A101" s="659"/>
      <c r="B101" s="737" t="s">
        <v>3332</v>
      </c>
      <c r="C101" s="738" t="s">
        <v>3293</v>
      </c>
      <c r="D101" s="677"/>
      <c r="E101" s="677"/>
      <c r="F101" s="217"/>
      <c r="G101" s="361"/>
      <c r="H101" s="361"/>
      <c r="I101" s="361"/>
      <c r="J101" s="361"/>
      <c r="K101" s="361"/>
      <c r="L101" s="361"/>
      <c r="M101" s="361"/>
    </row>
    <row r="102" spans="1:13" ht="14.5" x14ac:dyDescent="0.35">
      <c r="A102" s="659"/>
      <c r="B102" s="739" t="s">
        <v>3333</v>
      </c>
      <c r="C102" s="688">
        <f>CRD_PRETS_SEASONING_INF_12_MONTHS/CRD_PRETS_SELECTION</f>
        <v>3.0441591109129546E-2</v>
      </c>
      <c r="D102" s="361"/>
      <c r="E102" s="361"/>
      <c r="F102" s="361"/>
      <c r="G102" s="361"/>
      <c r="H102" s="361"/>
      <c r="I102" s="361"/>
      <c r="J102" s="361"/>
      <c r="K102" s="361"/>
      <c r="L102" s="361"/>
      <c r="M102" s="361"/>
    </row>
    <row r="103" spans="1:13" ht="14.5" x14ac:dyDescent="0.35">
      <c r="A103" s="659"/>
      <c r="B103" s="740" t="s">
        <v>3334</v>
      </c>
      <c r="C103" s="691">
        <f>CRD_PRETS_SEASONING_12_24_MONTHS/CRD_PRETS_SELECTION</f>
        <v>7.0459854917973047E-2</v>
      </c>
      <c r="D103" s="361"/>
      <c r="E103" s="361"/>
      <c r="F103" s="361"/>
      <c r="G103" s="361"/>
      <c r="H103" s="361"/>
      <c r="I103" s="361"/>
      <c r="J103" s="361"/>
      <c r="K103" s="361"/>
      <c r="L103" s="361"/>
      <c r="M103" s="361"/>
    </row>
    <row r="104" spans="1:13" ht="14.5" x14ac:dyDescent="0.35">
      <c r="A104" s="659"/>
      <c r="B104" s="740" t="s">
        <v>3335</v>
      </c>
      <c r="C104" s="691">
        <f>CRD_PRETS_SEASONING_24_36_MONTHS/CRD_PRETS_SELECTION</f>
        <v>9.2765437637129786E-2</v>
      </c>
      <c r="D104" s="361"/>
      <c r="E104" s="361"/>
      <c r="F104" s="361"/>
      <c r="G104" s="361"/>
      <c r="H104" s="361"/>
      <c r="I104" s="361"/>
      <c r="J104" s="361"/>
      <c r="K104" s="361"/>
      <c r="L104" s="361"/>
      <c r="M104" s="361"/>
    </row>
    <row r="105" spans="1:13" ht="14.5" x14ac:dyDescent="0.35">
      <c r="A105" s="659"/>
      <c r="B105" s="740" t="s">
        <v>3336</v>
      </c>
      <c r="C105" s="691">
        <f>CRD_PRETS_SEASONING_36_60_MONTHS/CRD_PRETS_SELECTION</f>
        <v>0.29296324244166522</v>
      </c>
      <c r="D105" s="361"/>
      <c r="E105" s="361"/>
      <c r="F105" s="361"/>
      <c r="G105" s="361"/>
      <c r="H105" s="361"/>
      <c r="I105" s="361"/>
      <c r="J105" s="361"/>
      <c r="K105" s="361"/>
      <c r="L105" s="361"/>
      <c r="M105" s="361"/>
    </row>
    <row r="106" spans="1:13" ht="15" thickBot="1" x14ac:dyDescent="0.4">
      <c r="A106" s="659"/>
      <c r="B106" s="741" t="s">
        <v>3337</v>
      </c>
      <c r="C106" s="697">
        <f>CRD_PRETS_SEASONING_SUP_60_MONTHS/CRD_PRETS_SELECTION</f>
        <v>0.51336987389410238</v>
      </c>
      <c r="D106" s="361"/>
      <c r="E106" s="361"/>
      <c r="F106" s="361"/>
      <c r="G106" s="361"/>
      <c r="H106" s="361"/>
      <c r="I106" s="361"/>
      <c r="J106" s="361"/>
      <c r="K106" s="361"/>
      <c r="L106" s="361"/>
      <c r="M106" s="361"/>
    </row>
    <row r="107" spans="1:13" ht="14.5" x14ac:dyDescent="0.35">
      <c r="A107" s="659"/>
      <c r="B107" s="361"/>
      <c r="C107" s="361"/>
      <c r="D107" s="361"/>
      <c r="E107" s="361"/>
      <c r="F107" s="361"/>
      <c r="G107" s="361"/>
      <c r="H107" s="361"/>
      <c r="I107" s="361"/>
      <c r="J107" s="361"/>
      <c r="K107" s="361"/>
      <c r="L107" s="361"/>
      <c r="M107" s="361"/>
    </row>
    <row r="108" spans="1:13" ht="14.5" x14ac:dyDescent="0.35">
      <c r="A108" s="659"/>
      <c r="B108" s="361"/>
      <c r="C108" s="361"/>
      <c r="D108" s="361"/>
      <c r="E108" s="361" t="s">
        <v>3329</v>
      </c>
      <c r="F108" s="361"/>
      <c r="G108" s="361"/>
      <c r="H108" s="361"/>
      <c r="I108" s="361"/>
      <c r="J108" s="361"/>
      <c r="K108" s="361"/>
      <c r="L108" s="361"/>
      <c r="M108" s="361"/>
    </row>
    <row r="109" spans="1:13" ht="14.5" x14ac:dyDescent="0.35">
      <c r="A109" s="659" t="s">
        <v>3338</v>
      </c>
      <c r="B109" s="672" t="s">
        <v>3339</v>
      </c>
      <c r="C109" s="361"/>
      <c r="D109" s="361" t="s">
        <v>3329</v>
      </c>
      <c r="E109" s="361" t="s">
        <v>3329</v>
      </c>
      <c r="F109" s="361" t="s">
        <v>3329</v>
      </c>
      <c r="G109" s="361" t="s">
        <v>3329</v>
      </c>
      <c r="H109" s="361" t="s">
        <v>3329</v>
      </c>
      <c r="I109" s="361" t="s">
        <v>3329</v>
      </c>
      <c r="J109" s="361" t="s">
        <v>3329</v>
      </c>
      <c r="K109" s="361"/>
      <c r="L109" s="361"/>
      <c r="M109" s="361"/>
    </row>
    <row r="110" spans="1:13" ht="15" thickBot="1" x14ac:dyDescent="0.4">
      <c r="A110" s="659"/>
      <c r="B110" s="672"/>
      <c r="C110" s="361"/>
      <c r="D110" s="361"/>
      <c r="E110" s="361"/>
      <c r="F110" s="361"/>
      <c r="G110" s="361"/>
      <c r="H110" s="361"/>
      <c r="I110" s="361"/>
      <c r="J110" s="361"/>
      <c r="K110" s="361"/>
      <c r="L110" s="361"/>
      <c r="M110" s="361"/>
    </row>
    <row r="111" spans="1:13" ht="15" thickBot="1" x14ac:dyDescent="0.4">
      <c r="A111" s="659"/>
      <c r="B111" s="742"/>
      <c r="C111" s="719" t="s">
        <v>3293</v>
      </c>
      <c r="D111" s="743"/>
      <c r="E111" s="361"/>
      <c r="F111" s="361"/>
      <c r="G111" s="361"/>
      <c r="H111" s="361"/>
      <c r="I111" s="361"/>
      <c r="J111" s="361"/>
      <c r="K111" s="361"/>
      <c r="L111" s="361"/>
      <c r="M111" s="361"/>
    </row>
    <row r="112" spans="1:13" ht="14.5" x14ac:dyDescent="0.35">
      <c r="A112" s="659"/>
      <c r="B112" s="744" t="s">
        <v>745</v>
      </c>
      <c r="C112" s="688">
        <f>CRD_PRETS_LOAN_PURPOSE_RESIDENCE_PRINCIPALE/CRD_PRETS_SELECTION</f>
        <v>0.78223047542302215</v>
      </c>
      <c r="D112" s="361"/>
      <c r="E112" s="361"/>
      <c r="F112" s="361"/>
      <c r="G112" s="361"/>
      <c r="H112" s="361"/>
      <c r="I112" s="361"/>
      <c r="J112" s="361"/>
      <c r="K112" s="361"/>
      <c r="L112" s="361"/>
      <c r="M112" s="361"/>
    </row>
    <row r="113" spans="1:13" ht="14.5" x14ac:dyDescent="0.35">
      <c r="A113" s="659"/>
      <c r="B113" s="689" t="s">
        <v>3340</v>
      </c>
      <c r="C113" s="691">
        <f>CRD_PRETS_LOAN_PURPOSE_RESIDENCE_SECONDAIRE/CRD_PRETS_SELECTION</f>
        <v>7.3634860582643666E-2</v>
      </c>
      <c r="D113" s="361"/>
      <c r="E113" s="361"/>
      <c r="F113" s="361"/>
      <c r="G113" s="361"/>
      <c r="H113" s="361"/>
      <c r="I113" s="361"/>
      <c r="J113" s="361"/>
      <c r="K113" s="361"/>
      <c r="L113" s="361"/>
      <c r="M113" s="361"/>
    </row>
    <row r="114" spans="1:13" ht="14.5" x14ac:dyDescent="0.35">
      <c r="A114" s="659"/>
      <c r="B114" s="689" t="s">
        <v>3341</v>
      </c>
      <c r="C114" s="691">
        <f>CRD_PRETS_LOAN_PURPOSE_LOCATION/CRD_PRETS_SELECTION</f>
        <v>0.14413466399433419</v>
      </c>
      <c r="D114" s="361"/>
      <c r="E114" s="361"/>
      <c r="F114" s="361"/>
      <c r="G114" s="361"/>
      <c r="H114" s="361"/>
      <c r="I114" s="361"/>
      <c r="J114" s="361"/>
      <c r="K114" s="361"/>
      <c r="L114" s="361"/>
      <c r="M114" s="361"/>
    </row>
    <row r="115" spans="1:13" ht="14.5" x14ac:dyDescent="0.35">
      <c r="A115" s="659"/>
      <c r="B115" s="689" t="s">
        <v>143</v>
      </c>
      <c r="C115" s="691">
        <f>CRD_PRETS_LOAN_PURPOSE_AUTRE/CRD_PRETS_SELECTION</f>
        <v>0</v>
      </c>
      <c r="D115" s="361"/>
      <c r="E115" s="361"/>
      <c r="F115" s="361"/>
      <c r="G115" s="361"/>
      <c r="H115" s="361"/>
      <c r="I115" s="361"/>
      <c r="J115" s="361"/>
      <c r="K115" s="361"/>
      <c r="L115" s="361"/>
      <c r="M115" s="361"/>
    </row>
    <row r="116" spans="1:13" ht="15" thickBot="1" x14ac:dyDescent="0.4">
      <c r="A116" s="659"/>
      <c r="B116" s="695" t="s">
        <v>3299</v>
      </c>
      <c r="C116" s="697">
        <f>CRD_PRETS_LOAN_PURPOSE_NO_DATA/CRD_PRETS_SELECTION</f>
        <v>0</v>
      </c>
      <c r="D116" s="361"/>
      <c r="E116" s="745"/>
      <c r="F116" s="361"/>
      <c r="G116" s="361"/>
      <c r="H116" s="361"/>
      <c r="I116" s="361"/>
      <c r="J116" s="361"/>
      <c r="K116" s="361"/>
      <c r="L116" s="361"/>
      <c r="M116" s="361"/>
    </row>
    <row r="117" spans="1:13" ht="14.5" x14ac:dyDescent="0.35">
      <c r="A117" s="659"/>
      <c r="B117" s="361"/>
      <c r="C117" s="361"/>
      <c r="D117" s="361"/>
      <c r="E117" s="361"/>
      <c r="F117" s="361"/>
      <c r="G117" s="361"/>
      <c r="H117" s="361"/>
      <c r="I117" s="361"/>
      <c r="J117" s="361"/>
      <c r="K117" s="361"/>
      <c r="L117" s="361"/>
      <c r="M117" s="361"/>
    </row>
    <row r="118" spans="1:13" ht="14.5" x14ac:dyDescent="0.35">
      <c r="A118" s="659"/>
      <c r="B118" s="361"/>
      <c r="C118" s="361"/>
      <c r="D118" s="361"/>
      <c r="E118" s="361"/>
      <c r="F118" s="361"/>
      <c r="G118" s="361"/>
      <c r="H118" s="361"/>
      <c r="I118" s="361"/>
      <c r="J118" s="361"/>
      <c r="K118" s="361"/>
      <c r="L118" s="361"/>
      <c r="M118" s="361"/>
    </row>
    <row r="119" spans="1:13" ht="14.5" x14ac:dyDescent="0.35">
      <c r="A119" s="659" t="s">
        <v>3342</v>
      </c>
      <c r="B119" s="672" t="s">
        <v>3343</v>
      </c>
      <c r="C119" s="361"/>
      <c r="D119" s="361"/>
      <c r="E119" s="361"/>
      <c r="F119" s="361"/>
      <c r="G119" s="361"/>
      <c r="H119" s="361"/>
      <c r="I119" s="361"/>
      <c r="J119" s="361"/>
      <c r="K119" s="361"/>
      <c r="L119" s="361"/>
      <c r="M119" s="361"/>
    </row>
    <row r="120" spans="1:13" ht="15" thickBot="1" x14ac:dyDescent="0.4">
      <c r="A120" s="659"/>
      <c r="B120" s="361"/>
      <c r="C120" s="361"/>
      <c r="D120" s="361"/>
      <c r="E120" s="361"/>
      <c r="F120" s="361"/>
      <c r="G120" s="361"/>
      <c r="H120" s="361"/>
      <c r="I120" s="361"/>
      <c r="J120" s="361"/>
      <c r="K120" s="361"/>
      <c r="L120" s="361"/>
      <c r="M120" s="361"/>
    </row>
    <row r="121" spans="1:13" ht="15" thickBot="1" x14ac:dyDescent="0.4">
      <c r="A121" s="659"/>
      <c r="B121" s="700"/>
      <c r="C121" s="719" t="s">
        <v>3293</v>
      </c>
      <c r="D121" s="743"/>
      <c r="E121" s="361"/>
      <c r="F121" s="361"/>
      <c r="G121" s="361"/>
      <c r="H121" s="361"/>
      <c r="I121" s="361"/>
      <c r="J121" s="361"/>
      <c r="K121" s="361"/>
      <c r="L121" s="361"/>
      <c r="M121" s="361"/>
    </row>
    <row r="122" spans="1:13" ht="14.5" x14ac:dyDescent="0.35">
      <c r="A122" s="659"/>
      <c r="B122" s="665" t="s">
        <v>626</v>
      </c>
      <c r="C122" s="746">
        <v>1</v>
      </c>
      <c r="D122" s="747"/>
      <c r="E122" s="361"/>
      <c r="F122" s="361"/>
      <c r="G122" s="361"/>
      <c r="H122" s="361"/>
      <c r="I122" s="361"/>
      <c r="J122" s="361"/>
      <c r="K122" s="361"/>
      <c r="L122" s="361"/>
      <c r="M122" s="361"/>
    </row>
    <row r="123" spans="1:13" ht="14.5" x14ac:dyDescent="0.35">
      <c r="A123" s="659"/>
      <c r="B123" s="748" t="s">
        <v>3344</v>
      </c>
      <c r="C123" s="749"/>
      <c r="D123" s="747"/>
      <c r="E123" s="361"/>
      <c r="F123" s="361"/>
      <c r="G123" s="361"/>
      <c r="H123" s="361"/>
      <c r="I123" s="361"/>
      <c r="J123" s="361"/>
      <c r="K123" s="361"/>
      <c r="L123" s="361"/>
      <c r="M123" s="361"/>
    </row>
    <row r="124" spans="1:13" ht="14.5" x14ac:dyDescent="0.35">
      <c r="A124" s="659"/>
      <c r="B124" s="748" t="s">
        <v>3345</v>
      </c>
      <c r="C124" s="750"/>
      <c r="D124" s="747"/>
      <c r="E124" s="361"/>
      <c r="F124" s="361"/>
      <c r="G124" s="361"/>
      <c r="H124" s="361"/>
      <c r="I124" s="361"/>
      <c r="J124" s="361"/>
      <c r="K124" s="361"/>
      <c r="L124" s="361"/>
      <c r="M124" s="361"/>
    </row>
    <row r="125" spans="1:13" ht="14.5" x14ac:dyDescent="0.35">
      <c r="A125" s="659"/>
      <c r="B125" s="751" t="s">
        <v>143</v>
      </c>
      <c r="C125" s="750"/>
      <c r="D125" s="361"/>
      <c r="E125" s="361"/>
      <c r="F125" s="361"/>
      <c r="G125" s="361"/>
      <c r="H125" s="361"/>
      <c r="I125" s="361"/>
      <c r="J125" s="361"/>
      <c r="K125" s="361"/>
      <c r="L125" s="361"/>
      <c r="M125" s="361"/>
    </row>
    <row r="126" spans="1:13" ht="15" thickBot="1" x14ac:dyDescent="0.4">
      <c r="A126" s="659"/>
      <c r="B126" s="752" t="s">
        <v>3299</v>
      </c>
      <c r="C126" s="753"/>
      <c r="D126" s="361"/>
      <c r="E126" s="361"/>
      <c r="F126" s="361"/>
      <c r="G126" s="361"/>
      <c r="H126" s="361"/>
      <c r="I126" s="361"/>
      <c r="J126" s="361"/>
      <c r="K126" s="361"/>
      <c r="L126" s="361"/>
      <c r="M126" s="361"/>
    </row>
    <row r="127" spans="1:13" ht="14.5" x14ac:dyDescent="0.35">
      <c r="A127" s="659"/>
      <c r="B127" s="361"/>
      <c r="C127" s="361"/>
      <c r="D127" s="361"/>
      <c r="E127" s="361"/>
      <c r="F127" s="361"/>
      <c r="G127" s="361"/>
      <c r="H127" s="361"/>
      <c r="I127" s="361"/>
      <c r="J127" s="361"/>
      <c r="K127" s="361"/>
      <c r="L127" s="361"/>
      <c r="M127" s="361"/>
    </row>
    <row r="128" spans="1:13" ht="14.5" x14ac:dyDescent="0.35">
      <c r="A128" s="659"/>
      <c r="B128" s="361"/>
      <c r="C128" s="361"/>
      <c r="D128" s="361"/>
      <c r="E128" s="361"/>
      <c r="F128" s="361"/>
      <c r="G128" s="361"/>
      <c r="H128" s="361"/>
      <c r="I128" s="361"/>
      <c r="J128" s="361"/>
      <c r="K128" s="361"/>
      <c r="L128" s="361"/>
      <c r="M128" s="361"/>
    </row>
    <row r="129" spans="1:17" ht="14.5" x14ac:dyDescent="0.35">
      <c r="A129" s="659" t="s">
        <v>3346</v>
      </c>
      <c r="B129" s="661" t="s">
        <v>3347</v>
      </c>
      <c r="C129" s="361"/>
      <c r="D129" s="361"/>
      <c r="E129" s="685"/>
      <c r="F129" s="361"/>
      <c r="G129" s="361"/>
      <c r="H129" s="361"/>
      <c r="I129" s="361"/>
      <c r="J129" s="361"/>
      <c r="K129" s="361"/>
      <c r="L129" s="361"/>
      <c r="M129" s="361"/>
    </row>
    <row r="130" spans="1:17" ht="15" thickBot="1" x14ac:dyDescent="0.4">
      <c r="A130" s="659"/>
      <c r="B130" s="361"/>
      <c r="C130" s="361"/>
      <c r="D130" s="361"/>
      <c r="E130" s="361"/>
      <c r="F130" s="361"/>
      <c r="G130" s="361"/>
      <c r="H130" s="361"/>
      <c r="I130" s="361"/>
      <c r="J130" s="361"/>
      <c r="K130" s="361"/>
      <c r="L130" s="361"/>
      <c r="M130" s="361"/>
    </row>
    <row r="131" spans="1:17" ht="15" thickBot="1" x14ac:dyDescent="0.4">
      <c r="A131" s="659"/>
      <c r="B131" s="361"/>
      <c r="C131" s="719" t="s">
        <v>3293</v>
      </c>
      <c r="D131" s="361"/>
      <c r="E131" s="361"/>
      <c r="F131" s="361"/>
      <c r="G131" s="361"/>
      <c r="H131" s="361"/>
      <c r="I131" s="361"/>
      <c r="J131" s="361"/>
      <c r="K131" s="361"/>
      <c r="L131" s="361"/>
      <c r="M131" s="361"/>
    </row>
    <row r="132" spans="1:17" ht="14.5" x14ac:dyDescent="0.35">
      <c r="A132" s="659"/>
      <c r="B132" s="665" t="s">
        <v>3348</v>
      </c>
      <c r="C132" s="754">
        <v>0.99999999999999989</v>
      </c>
      <c r="D132" s="361"/>
      <c r="E132" s="361"/>
      <c r="F132" s="361"/>
      <c r="G132" s="361"/>
      <c r="H132" s="361"/>
      <c r="I132" s="361"/>
      <c r="J132" s="361"/>
      <c r="K132" s="361"/>
      <c r="L132" s="361"/>
      <c r="M132" s="361"/>
    </row>
    <row r="133" spans="1:17" ht="14.5" x14ac:dyDescent="0.35">
      <c r="A133" s="659"/>
      <c r="B133" s="748" t="s">
        <v>3349</v>
      </c>
      <c r="C133" s="755">
        <v>0</v>
      </c>
      <c r="D133" s="361"/>
      <c r="E133" s="361"/>
      <c r="F133" s="361"/>
      <c r="G133" s="361"/>
      <c r="H133" s="361"/>
      <c r="I133" s="361"/>
      <c r="J133" s="361"/>
      <c r="K133" s="361"/>
      <c r="L133" s="361"/>
      <c r="M133" s="361"/>
    </row>
    <row r="134" spans="1:17" ht="14.5" x14ac:dyDescent="0.35">
      <c r="A134" s="659"/>
      <c r="B134" s="748" t="s">
        <v>3350</v>
      </c>
      <c r="C134" s="755">
        <v>0</v>
      </c>
      <c r="D134" s="361"/>
      <c r="E134" s="361"/>
      <c r="F134" s="361"/>
      <c r="G134" s="361"/>
      <c r="H134" s="361"/>
      <c r="I134" s="361"/>
      <c r="J134" s="361"/>
      <c r="K134" s="361"/>
      <c r="L134" s="361"/>
      <c r="M134" s="361"/>
    </row>
    <row r="135" spans="1:17" ht="14.5" x14ac:dyDescent="0.35">
      <c r="A135" s="659"/>
      <c r="B135" s="748" t="s">
        <v>3351</v>
      </c>
      <c r="C135" s="755">
        <v>0</v>
      </c>
      <c r="D135" s="361"/>
      <c r="E135" s="361"/>
      <c r="F135" s="361"/>
      <c r="G135" s="361"/>
      <c r="H135" s="361"/>
      <c r="I135" s="361"/>
      <c r="J135" s="361"/>
      <c r="K135" s="361"/>
      <c r="L135" s="361"/>
      <c r="M135" s="361"/>
    </row>
    <row r="136" spans="1:17" ht="14.5" x14ac:dyDescent="0.35">
      <c r="A136" s="659"/>
      <c r="B136" s="748" t="s">
        <v>143</v>
      </c>
      <c r="C136" s="755">
        <v>0</v>
      </c>
      <c r="D136" s="361"/>
      <c r="E136" s="361"/>
      <c r="F136" s="361"/>
      <c r="G136" s="361"/>
      <c r="H136" s="361"/>
      <c r="I136" s="361"/>
      <c r="J136" s="361"/>
      <c r="K136" s="361"/>
      <c r="L136" s="361"/>
      <c r="M136" s="361"/>
    </row>
    <row r="137" spans="1:17" ht="15" thickBot="1" x14ac:dyDescent="0.4">
      <c r="A137" s="659"/>
      <c r="B137" s="669" t="s">
        <v>3299</v>
      </c>
      <c r="C137" s="756">
        <v>0</v>
      </c>
      <c r="D137" s="361"/>
      <c r="E137" s="361"/>
      <c r="F137" s="361"/>
      <c r="G137" s="361"/>
      <c r="H137" s="361"/>
      <c r="I137" s="361"/>
      <c r="J137" s="361"/>
      <c r="K137" s="361"/>
      <c r="L137" s="361"/>
      <c r="M137" s="361"/>
    </row>
    <row r="138" spans="1:17" ht="14.5" x14ac:dyDescent="0.35">
      <c r="A138" s="659"/>
      <c r="B138" s="361"/>
      <c r="C138" s="361"/>
      <c r="D138" s="361"/>
      <c r="E138" s="361"/>
      <c r="F138" s="361"/>
      <c r="G138" s="361"/>
      <c r="H138" s="361"/>
      <c r="I138" s="361"/>
      <c r="J138" s="361"/>
      <c r="K138" s="361"/>
      <c r="L138" s="361"/>
      <c r="M138" s="361"/>
    </row>
    <row r="139" spans="1:17" ht="14.5" x14ac:dyDescent="0.35">
      <c r="A139" s="659"/>
      <c r="B139" s="361"/>
      <c r="C139" s="361"/>
      <c r="D139" s="361"/>
      <c r="E139" s="361"/>
      <c r="F139" s="361"/>
      <c r="G139" s="361"/>
      <c r="H139" s="361"/>
      <c r="I139" s="361"/>
      <c r="J139" s="361"/>
      <c r="K139" s="361"/>
      <c r="L139" s="361"/>
      <c r="M139" s="361"/>
    </row>
    <row r="140" spans="1:17" ht="14.5" x14ac:dyDescent="0.35">
      <c r="A140" s="659" t="s">
        <v>3352</v>
      </c>
      <c r="B140" s="661" t="s">
        <v>3353</v>
      </c>
      <c r="C140" s="361"/>
      <c r="D140" s="361"/>
      <c r="E140" s="361"/>
      <c r="F140" s="361"/>
      <c r="G140" s="361"/>
      <c r="H140" s="361"/>
      <c r="I140" s="361"/>
      <c r="J140" s="361"/>
      <c r="K140" s="361"/>
      <c r="L140" s="361"/>
      <c r="M140" s="361"/>
    </row>
    <row r="141" spans="1:17" ht="15" thickBot="1" x14ac:dyDescent="0.4">
      <c r="A141" s="659"/>
      <c r="B141" s="361"/>
      <c r="C141" s="361"/>
      <c r="D141" s="361"/>
      <c r="E141" s="361"/>
      <c r="F141" s="361"/>
      <c r="G141" s="361"/>
      <c r="H141" s="361"/>
      <c r="I141" s="361"/>
      <c r="J141" s="361"/>
      <c r="K141" s="361"/>
      <c r="L141" s="361"/>
      <c r="M141" s="361"/>
    </row>
    <row r="142" spans="1:17" ht="15" thickBot="1" x14ac:dyDescent="0.4">
      <c r="A142" s="659"/>
      <c r="B142" s="361"/>
      <c r="C142" s="361"/>
      <c r="D142" s="719" t="s">
        <v>3293</v>
      </c>
      <c r="E142" s="685"/>
      <c r="F142" s="361"/>
      <c r="G142" s="361"/>
      <c r="H142" s="361"/>
      <c r="I142" s="361"/>
      <c r="J142" s="361"/>
      <c r="K142" s="361"/>
      <c r="L142" s="361"/>
      <c r="M142" s="361"/>
    </row>
    <row r="143" spans="1:17" ht="14.5" x14ac:dyDescent="0.35">
      <c r="A143" s="659"/>
      <c r="B143" s="757" t="s">
        <v>3354</v>
      </c>
      <c r="C143" s="758"/>
      <c r="D143" s="754">
        <f>CRD_PRETS_PROFESSION_EMPRUNTEUR_EMPLOYE/CRD_PRETS_SELECTION</f>
        <v>0.80611743124995239</v>
      </c>
      <c r="E143" s="361"/>
      <c r="F143" s="361"/>
      <c r="G143" s="361"/>
      <c r="H143" s="361"/>
      <c r="I143" s="361"/>
      <c r="J143" s="361"/>
      <c r="K143" s="361"/>
      <c r="L143" s="361"/>
      <c r="M143" s="361"/>
      <c r="O143" s="759"/>
      <c r="P143" s="759"/>
      <c r="Q143" s="759"/>
    </row>
    <row r="144" spans="1:17" ht="14.5" x14ac:dyDescent="0.35">
      <c r="A144" s="659"/>
      <c r="B144" s="689" t="s">
        <v>3355</v>
      </c>
      <c r="C144" s="708"/>
      <c r="D144" s="755">
        <f>CRD_PRETS_PROFESSION_EMPRUNTEUR_FONCTIONNAIRE/CRD_PRETS_SELECTION</f>
        <v>7.6625982953317934E-2</v>
      </c>
      <c r="E144" s="361"/>
      <c r="F144" s="361"/>
      <c r="G144" s="361"/>
      <c r="H144" s="361"/>
      <c r="I144" s="361"/>
      <c r="J144" s="361"/>
      <c r="K144" s="361"/>
      <c r="L144" s="361"/>
      <c r="M144" s="361"/>
      <c r="O144" s="760"/>
      <c r="P144" s="760"/>
      <c r="Q144" s="761"/>
    </row>
    <row r="145" spans="1:17" ht="14.5" x14ac:dyDescent="0.35">
      <c r="A145" s="659"/>
      <c r="B145" s="689" t="s">
        <v>3356</v>
      </c>
      <c r="C145" s="708"/>
      <c r="D145" s="755">
        <f>CRD_PRETS_PROFESSION_EMPRUNTEUR_A_SON_COMPTE/CRD_PRETS_SELECTION</f>
        <v>6.0134971915300671E-2</v>
      </c>
      <c r="E145" s="361"/>
      <c r="F145" s="361"/>
      <c r="G145" s="361"/>
      <c r="H145" s="361"/>
      <c r="I145" s="361"/>
      <c r="J145" s="361"/>
      <c r="K145" s="361"/>
      <c r="L145" s="361"/>
      <c r="M145" s="361"/>
      <c r="O145" s="760"/>
      <c r="P145" s="760"/>
      <c r="Q145" s="761"/>
    </row>
    <row r="146" spans="1:17" ht="14.5" x14ac:dyDescent="0.35">
      <c r="A146" s="659"/>
      <c r="B146" s="689" t="s">
        <v>3357</v>
      </c>
      <c r="C146" s="708"/>
      <c r="D146" s="755">
        <f>CRD_PRETS_PROFESSION_EMPRUNTEUR_RETRAITE_PENSION/CRD_PRETS_SELECTION</f>
        <v>1.299240086731861E-2</v>
      </c>
      <c r="E146" s="361"/>
      <c r="F146" s="361"/>
      <c r="G146" s="361"/>
      <c r="H146" s="361"/>
      <c r="I146" s="361"/>
      <c r="J146" s="361"/>
      <c r="K146" s="361"/>
      <c r="L146" s="361"/>
      <c r="M146" s="361"/>
      <c r="O146" s="760"/>
      <c r="P146" s="760"/>
      <c r="Q146" s="761"/>
    </row>
    <row r="147" spans="1:17" ht="14.5" x14ac:dyDescent="0.35">
      <c r="A147" s="659"/>
      <c r="B147" s="689" t="s">
        <v>3358</v>
      </c>
      <c r="C147" s="708"/>
      <c r="D147" s="755">
        <f>CRD_PRETS_PROFESSION_EMPRUNTEUR_AUTRE_INACTIF/CRD_PRETS_SELECTION</f>
        <v>9.1475675382941025E-3</v>
      </c>
      <c r="E147" s="361"/>
      <c r="F147" s="361"/>
      <c r="G147" s="361"/>
      <c r="H147" s="361"/>
      <c r="I147" s="361"/>
      <c r="J147" s="361"/>
      <c r="K147" s="361"/>
      <c r="L147" s="361"/>
      <c r="M147" s="361"/>
      <c r="O147" s="760"/>
      <c r="P147" s="760"/>
      <c r="Q147" s="761"/>
    </row>
    <row r="148" spans="1:17" ht="15" thickBot="1" x14ac:dyDescent="0.4">
      <c r="A148" s="659"/>
      <c r="B148" s="762" t="s">
        <v>3299</v>
      </c>
      <c r="C148" s="709"/>
      <c r="D148" s="756">
        <f>CRD_PRETS_PROFESSION_EMPRUNTEUR_INCONNUE/CRD_PRETS_SELECTION</f>
        <v>3.4981645475816205E-2</v>
      </c>
      <c r="E148" s="361"/>
      <c r="F148" s="361"/>
      <c r="G148" s="361"/>
      <c r="H148" s="361"/>
      <c r="I148" s="361"/>
      <c r="J148" s="361"/>
      <c r="K148" s="361"/>
      <c r="L148" s="361"/>
      <c r="M148" s="361"/>
      <c r="O148" s="760"/>
      <c r="P148" s="760"/>
      <c r="Q148" s="761"/>
    </row>
    <row r="149" spans="1:17" ht="14.5" x14ac:dyDescent="0.35">
      <c r="A149" s="659"/>
      <c r="B149" s="361"/>
      <c r="C149" s="361"/>
      <c r="D149" s="361"/>
      <c r="E149" s="361"/>
      <c r="F149" s="660"/>
      <c r="G149" s="361"/>
      <c r="H149" s="361"/>
      <c r="I149" s="361"/>
      <c r="J149" s="361"/>
      <c r="K149" s="361"/>
      <c r="L149" s="361"/>
      <c r="M149" s="361"/>
      <c r="O149" s="760"/>
      <c r="P149" s="760"/>
      <c r="Q149" s="761"/>
    </row>
    <row r="150" spans="1:17" ht="14.5" x14ac:dyDescent="0.35">
      <c r="A150" s="659"/>
      <c r="B150" s="361"/>
      <c r="C150" s="361"/>
      <c r="D150" s="361"/>
      <c r="E150" s="361"/>
      <c r="F150" s="361"/>
      <c r="G150" s="361"/>
      <c r="H150" s="361"/>
      <c r="I150" s="361"/>
      <c r="J150" s="361"/>
      <c r="K150" s="361"/>
      <c r="L150" s="361"/>
      <c r="M150" s="361"/>
      <c r="O150" s="760"/>
      <c r="P150" s="760"/>
      <c r="Q150" s="761"/>
    </row>
    <row r="151" spans="1:17" ht="14.5" x14ac:dyDescent="0.35">
      <c r="A151" s="659" t="s">
        <v>3359</v>
      </c>
      <c r="B151" s="672" t="s">
        <v>3360</v>
      </c>
      <c r="C151" s="361"/>
      <c r="D151" s="361"/>
      <c r="E151" s="361"/>
      <c r="F151" s="361"/>
      <c r="G151" s="361"/>
      <c r="H151" s="361"/>
      <c r="I151" s="361"/>
      <c r="J151" s="361"/>
      <c r="K151" s="361"/>
      <c r="L151" s="361"/>
      <c r="M151" s="361"/>
      <c r="O151" s="760"/>
      <c r="P151" s="760"/>
      <c r="Q151" s="761"/>
    </row>
    <row r="152" spans="1:17" ht="15" thickBot="1" x14ac:dyDescent="0.4">
      <c r="A152" s="659"/>
      <c r="B152" s="672"/>
      <c r="C152" s="361"/>
      <c r="D152" s="361"/>
      <c r="E152" s="361"/>
      <c r="F152" s="361"/>
      <c r="G152" s="361"/>
      <c r="H152" s="361"/>
      <c r="I152" s="361"/>
      <c r="J152" s="361"/>
      <c r="K152" s="361"/>
      <c r="L152" s="361"/>
      <c r="M152" s="361"/>
      <c r="O152" s="760"/>
      <c r="P152" s="760"/>
      <c r="Q152" s="761"/>
    </row>
    <row r="153" spans="1:17" ht="14.5" x14ac:dyDescent="0.35">
      <c r="A153" s="659"/>
      <c r="B153" s="757" t="s">
        <v>1651</v>
      </c>
      <c r="C153" s="763"/>
      <c r="D153" s="764">
        <f>NBE_PRETS_SELECTION</f>
        <v>43053</v>
      </c>
      <c r="E153" s="685"/>
      <c r="F153" s="217"/>
      <c r="G153" s="217"/>
      <c r="H153" s="361"/>
      <c r="I153" s="676"/>
      <c r="J153" s="361"/>
      <c r="K153" s="361"/>
      <c r="L153" s="361"/>
      <c r="M153" s="361"/>
      <c r="O153" s="760"/>
      <c r="P153" s="760"/>
      <c r="Q153" s="761"/>
    </row>
    <row r="154" spans="1:17" ht="15" thickBot="1" x14ac:dyDescent="0.4">
      <c r="A154" s="659"/>
      <c r="B154" s="695" t="s">
        <v>3361</v>
      </c>
      <c r="C154" s="765"/>
      <c r="D154" s="766">
        <f>CRD_PRETS_SELECTION/NBE_PRETS_SELECTION</f>
        <v>135464.43475576615</v>
      </c>
      <c r="E154" s="685"/>
      <c r="F154" s="217"/>
      <c r="G154" s="217"/>
      <c r="H154" s="361"/>
      <c r="I154" s="361"/>
      <c r="J154" s="361"/>
      <c r="K154" s="361"/>
      <c r="L154" s="361"/>
      <c r="M154" s="361"/>
      <c r="O154" s="760"/>
      <c r="P154" s="760"/>
      <c r="Q154" s="761"/>
    </row>
    <row r="155" spans="1:17" s="431" customFormat="1" ht="15" thickBot="1" x14ac:dyDescent="0.4">
      <c r="A155" s="659"/>
      <c r="B155" s="717"/>
      <c r="C155" s="767"/>
      <c r="D155" s="768"/>
      <c r="E155" s="217"/>
      <c r="F155" s="217"/>
      <c r="G155" s="217"/>
      <c r="H155" s="361"/>
      <c r="I155" s="361"/>
      <c r="J155" s="361"/>
      <c r="K155" s="361"/>
      <c r="L155" s="361"/>
      <c r="M155" s="361"/>
      <c r="O155" s="760"/>
      <c r="P155" s="760"/>
      <c r="Q155" s="761"/>
    </row>
    <row r="156" spans="1:17" s="431" customFormat="1" ht="27" thickBot="1" x14ac:dyDescent="0.4">
      <c r="A156" s="659"/>
      <c r="B156" s="676"/>
      <c r="C156" s="677"/>
      <c r="D156" s="662" t="s">
        <v>3362</v>
      </c>
      <c r="E156" s="217"/>
      <c r="F156" s="217"/>
      <c r="G156" s="217"/>
      <c r="H156" s="361"/>
      <c r="I156" s="361"/>
      <c r="J156" s="361"/>
      <c r="K156" s="361"/>
      <c r="L156" s="361"/>
      <c r="M156" s="361"/>
      <c r="O156" s="760"/>
      <c r="P156" s="760"/>
      <c r="Q156" s="761"/>
    </row>
    <row r="157" spans="1:17" ht="14.5" x14ac:dyDescent="0.35">
      <c r="A157" s="659"/>
      <c r="B157" s="686" t="s">
        <v>3363</v>
      </c>
      <c r="C157" s="769"/>
      <c r="D157" s="754">
        <f>CRD_PRETS__5_LARGEST_EXPOSURES/CRD_PRETS_SELECTION</f>
        <v>8.340276899316836E-4</v>
      </c>
      <c r="E157" s="685"/>
      <c r="F157" s="361"/>
      <c r="G157" s="361"/>
      <c r="H157" s="361"/>
      <c r="I157" s="361"/>
      <c r="J157" s="361"/>
      <c r="K157" s="361"/>
      <c r="L157" s="361"/>
      <c r="M157" s="361"/>
      <c r="O157" s="760"/>
      <c r="P157" s="760"/>
      <c r="Q157" s="761"/>
    </row>
    <row r="158" spans="1:17" ht="15" thickBot="1" x14ac:dyDescent="0.4">
      <c r="A158" s="659"/>
      <c r="B158" s="762" t="s">
        <v>3364</v>
      </c>
      <c r="C158" s="709"/>
      <c r="D158" s="756">
        <f>CRD_PRETS__10_LARGEST_EXPOSURES/CRD_PRETS_SELECTION</f>
        <v>1.5958832979279141E-3</v>
      </c>
      <c r="E158" s="685"/>
      <c r="F158" s="361"/>
      <c r="G158" s="361"/>
      <c r="H158" s="361"/>
      <c r="I158" s="361"/>
      <c r="J158" s="361"/>
      <c r="K158" s="361"/>
      <c r="L158" s="361"/>
      <c r="M158" s="361"/>
      <c r="O158" s="760"/>
      <c r="P158" s="760"/>
      <c r="Q158" s="761"/>
    </row>
    <row r="159" spans="1:17" s="431" customFormat="1" ht="15" thickBot="1" x14ac:dyDescent="0.4">
      <c r="A159" s="659"/>
      <c r="B159" s="676"/>
      <c r="C159" s="676"/>
      <c r="D159" s="361"/>
      <c r="E159" s="361"/>
      <c r="F159" s="361"/>
      <c r="G159" s="361"/>
      <c r="H159" s="361"/>
      <c r="I159" s="361"/>
      <c r="J159" s="361"/>
      <c r="K159" s="361"/>
      <c r="L159" s="361"/>
      <c r="M159" s="361"/>
      <c r="O159" s="760"/>
      <c r="P159" s="760"/>
      <c r="Q159" s="761"/>
    </row>
    <row r="160" spans="1:17" s="431" customFormat="1" ht="39.5" thickBot="1" x14ac:dyDescent="0.4">
      <c r="A160" s="659"/>
      <c r="B160" s="770"/>
      <c r="C160" s="771" t="s">
        <v>3365</v>
      </c>
      <c r="D160" s="772" t="s">
        <v>3366</v>
      </c>
      <c r="E160" s="773" t="s">
        <v>3367</v>
      </c>
      <c r="F160" s="361"/>
      <c r="G160" s="361"/>
      <c r="H160" s="361"/>
      <c r="I160" s="361"/>
      <c r="J160" s="361"/>
      <c r="K160" s="361"/>
      <c r="L160" s="361"/>
      <c r="M160" s="361"/>
      <c r="O160" s="774"/>
      <c r="P160" s="774"/>
      <c r="Q160" s="775"/>
    </row>
    <row r="161" spans="1:17" s="431" customFormat="1" ht="14.5" x14ac:dyDescent="0.35">
      <c r="A161" s="659"/>
      <c r="B161" s="686" t="s">
        <v>3146</v>
      </c>
      <c r="C161" s="776">
        <f>NBE_PRETS_TRANCHE_0_200000</f>
        <v>34177</v>
      </c>
      <c r="D161" s="776">
        <f>CRD_PRETS_TRANCHE_0_200000/1000</f>
        <v>3227785.8073700001</v>
      </c>
      <c r="E161" s="777">
        <f>CRD_PRETS_TRANCHE_0_200000/CRD_PRETS_SELECTION</f>
        <v>0.55344695113397813</v>
      </c>
      <c r="F161" s="361"/>
      <c r="G161" s="361"/>
      <c r="H161" s="361"/>
      <c r="I161" s="361"/>
      <c r="J161" s="361"/>
      <c r="K161" s="361"/>
      <c r="L161" s="361"/>
      <c r="M161" s="361"/>
      <c r="O161" s="774"/>
      <c r="P161" s="774"/>
      <c r="Q161" s="775"/>
    </row>
    <row r="162" spans="1:17" s="431" customFormat="1" ht="14.5" x14ac:dyDescent="0.35">
      <c r="A162" s="659"/>
      <c r="B162" s="689" t="s">
        <v>3147</v>
      </c>
      <c r="C162" s="778">
        <f>NBE_PRETS_TRANCHE_200000_400000</f>
        <v>7841</v>
      </c>
      <c r="D162" s="778">
        <f>CRD_PRETS_TRANCHE_200000_400000/1000</f>
        <v>2096652.0242600001</v>
      </c>
      <c r="E162" s="779">
        <f>CRD_PRETS_TRANCHE_200000_400000/CRD_PRETS_SELECTION</f>
        <v>0.35949896915900464</v>
      </c>
      <c r="F162" s="361"/>
      <c r="G162" s="361"/>
      <c r="H162" s="361"/>
      <c r="I162" s="361"/>
      <c r="J162" s="361"/>
      <c r="K162" s="361"/>
      <c r="L162" s="361"/>
      <c r="M162" s="361"/>
      <c r="O162" s="774"/>
      <c r="P162" s="774"/>
      <c r="Q162" s="775"/>
    </row>
    <row r="163" spans="1:17" s="431" customFormat="1" ht="14.5" x14ac:dyDescent="0.35">
      <c r="A163" s="659"/>
      <c r="B163" s="689" t="s">
        <v>3148</v>
      </c>
      <c r="C163" s="778">
        <f>NBE_PRETS_TRANCHE_400000_600000</f>
        <v>911</v>
      </c>
      <c r="D163" s="778">
        <f>CRD_PRETS_TRANCHE_400000_600000/1000</f>
        <v>419481.41314999998</v>
      </c>
      <c r="E163" s="779">
        <f>CRD_PRETS_TRANCHE_400000_600000/CRD_PRETS_SELECTION</f>
        <v>7.1925686219682802E-2</v>
      </c>
      <c r="F163" s="361"/>
      <c r="G163" s="361"/>
      <c r="H163" s="361"/>
      <c r="I163" s="361"/>
      <c r="J163" s="361"/>
      <c r="K163" s="361"/>
      <c r="L163" s="361"/>
      <c r="M163" s="361"/>
      <c r="O163" s="774"/>
      <c r="P163" s="774"/>
      <c r="Q163" s="775"/>
    </row>
    <row r="164" spans="1:17" s="431" customFormat="1" ht="14.5" x14ac:dyDescent="0.35">
      <c r="A164" s="659"/>
      <c r="B164" s="689" t="s">
        <v>3149</v>
      </c>
      <c r="C164" s="778">
        <f>NBE_PRETS_TRANCHE_600000_800000</f>
        <v>109</v>
      </c>
      <c r="D164" s="778">
        <f>CRD_PRETS_TRANCHE_600000_800000/1000</f>
        <v>74821.681599999996</v>
      </c>
      <c r="E164" s="779">
        <f>CRD_PRETS_TRANCHE_600000_800000/CRD_PRETS_SELECTION</f>
        <v>1.2829175797751587E-2</v>
      </c>
      <c r="F164" s="361"/>
      <c r="G164" s="361"/>
      <c r="H164" s="361"/>
      <c r="I164" s="361"/>
      <c r="J164" s="361"/>
      <c r="K164" s="361"/>
      <c r="L164" s="361"/>
      <c r="M164" s="361"/>
      <c r="O164" s="774"/>
      <c r="P164" s="774"/>
      <c r="Q164" s="775"/>
    </row>
    <row r="165" spans="1:17" s="431" customFormat="1" ht="14.5" x14ac:dyDescent="0.35">
      <c r="A165" s="659"/>
      <c r="B165" s="689" t="s">
        <v>3368</v>
      </c>
      <c r="C165" s="778">
        <f>NBE_PRETS_TRANCHE_800000_1000000</f>
        <v>15</v>
      </c>
      <c r="D165" s="778">
        <f>CRD_PRETS_TRANCHE_800000_1000000/1000</f>
        <v>13409.383159999999</v>
      </c>
      <c r="E165" s="779">
        <f>CRD_PRETS_TRANCHE_800000_1000000/CRD_PRETS_SELECTION</f>
        <v>2.2992176895827708E-3</v>
      </c>
      <c r="F165" s="361"/>
      <c r="G165" s="361"/>
      <c r="H165" s="361"/>
      <c r="I165" s="361"/>
      <c r="J165" s="361"/>
      <c r="K165" s="361"/>
      <c r="L165" s="361"/>
      <c r="M165" s="361"/>
      <c r="O165" s="774"/>
      <c r="P165" s="774"/>
      <c r="Q165" s="775"/>
    </row>
    <row r="166" spans="1:17" s="431" customFormat="1" ht="14.5" x14ac:dyDescent="0.35">
      <c r="A166" s="659"/>
      <c r="B166" s="689" t="s">
        <v>3369</v>
      </c>
      <c r="C166" s="778">
        <f>NBE_PRETS_TRANCHE_SUP_1000000</f>
        <v>0</v>
      </c>
      <c r="D166" s="778">
        <f>CRD_PRETS_TRANCHE_SUP_1000000/1000</f>
        <v>0</v>
      </c>
      <c r="E166" s="779">
        <f>CRD_PRETS_TRANCHE_SUP_1000000/CRD_PRETS_SELECTION</f>
        <v>0</v>
      </c>
      <c r="F166" s="361"/>
      <c r="G166" s="361"/>
      <c r="H166" s="361"/>
      <c r="I166" s="361"/>
      <c r="J166" s="361"/>
      <c r="K166" s="361"/>
      <c r="L166" s="361"/>
      <c r="M166" s="361"/>
      <c r="O166" s="774"/>
      <c r="P166" s="774"/>
      <c r="Q166" s="775"/>
    </row>
    <row r="167" spans="1:17" s="431" customFormat="1" ht="15" thickBot="1" x14ac:dyDescent="0.4">
      <c r="A167" s="659"/>
      <c r="B167" s="695" t="s">
        <v>3370</v>
      </c>
      <c r="C167" s="780">
        <f>SUM(C161:C166)</f>
        <v>43053</v>
      </c>
      <c r="D167" s="781">
        <f>SUM(D161:D166)</f>
        <v>5832150.3095399998</v>
      </c>
      <c r="E167" s="782">
        <f>SUM(E161:E166)</f>
        <v>0.99999999999999989</v>
      </c>
      <c r="F167" s="361"/>
      <c r="G167" s="361"/>
      <c r="H167" s="361"/>
      <c r="I167" s="361"/>
      <c r="J167" s="361"/>
      <c r="K167" s="361"/>
      <c r="L167" s="361"/>
      <c r="M167" s="361"/>
      <c r="O167" s="774"/>
      <c r="P167" s="774"/>
      <c r="Q167" s="775"/>
    </row>
    <row r="168" spans="1:17" s="431" customFormat="1" ht="14.5" x14ac:dyDescent="0.35">
      <c r="A168" s="659"/>
      <c r="B168" s="676"/>
      <c r="C168" s="676"/>
      <c r="D168" s="361"/>
      <c r="E168" s="361"/>
      <c r="F168" s="361"/>
      <c r="G168" s="361"/>
      <c r="H168" s="361"/>
      <c r="I168" s="361"/>
      <c r="J168" s="361"/>
      <c r="K168" s="361"/>
      <c r="L168" s="361"/>
      <c r="M168" s="361"/>
      <c r="O168" s="760"/>
      <c r="P168" s="760"/>
      <c r="Q168" s="761"/>
    </row>
    <row r="169" spans="1:17" ht="14.5" x14ac:dyDescent="0.35">
      <c r="A169" s="659"/>
      <c r="B169" s="361"/>
      <c r="C169" s="361"/>
      <c r="D169" s="361"/>
      <c r="E169" s="361"/>
      <c r="F169" s="660"/>
      <c r="G169" s="361"/>
      <c r="H169" s="361"/>
      <c r="I169" s="361"/>
      <c r="J169" s="361"/>
      <c r="K169" s="361"/>
      <c r="L169" s="361"/>
      <c r="M169" s="361"/>
      <c r="O169" s="760"/>
      <c r="P169" s="760"/>
      <c r="Q169" s="761"/>
    </row>
    <row r="170" spans="1:17" ht="14.5" x14ac:dyDescent="0.35">
      <c r="A170" s="659" t="s">
        <v>3371</v>
      </c>
      <c r="B170" s="661" t="s">
        <v>3372</v>
      </c>
      <c r="C170" s="361"/>
      <c r="D170" s="361"/>
      <c r="E170" s="361"/>
      <c r="F170" s="660"/>
      <c r="G170" s="361"/>
      <c r="H170" s="361"/>
      <c r="I170" s="361"/>
      <c r="J170" s="361"/>
      <c r="K170" s="361"/>
      <c r="L170" s="361"/>
      <c r="M170" s="361"/>
      <c r="O170" s="760"/>
      <c r="P170" s="760"/>
      <c r="Q170" s="761"/>
    </row>
    <row r="171" spans="1:17" ht="13.5" thickBot="1" x14ac:dyDescent="0.35">
      <c r="B171" s="487"/>
      <c r="O171" s="760"/>
      <c r="P171" s="760"/>
      <c r="Q171" s="761"/>
    </row>
    <row r="172" spans="1:17" ht="13.5" thickBot="1" x14ac:dyDescent="0.35">
      <c r="B172" s="580"/>
      <c r="C172" s="581" t="s">
        <v>3221</v>
      </c>
      <c r="D172" s="467" t="s">
        <v>3259</v>
      </c>
      <c r="E172" s="539" t="s">
        <v>3260</v>
      </c>
      <c r="O172" s="760"/>
      <c r="P172" s="760"/>
      <c r="Q172" s="761"/>
    </row>
    <row r="173" spans="1:17" ht="13.5" thickBot="1" x14ac:dyDescent="0.35">
      <c r="B173" s="441" t="s">
        <v>3214</v>
      </c>
      <c r="C173" s="783"/>
      <c r="D173" s="784"/>
      <c r="E173" s="580"/>
      <c r="O173" s="760"/>
      <c r="P173" s="760"/>
      <c r="Q173" s="761"/>
    </row>
    <row r="174" spans="1:17" s="431" customFormat="1" x14ac:dyDescent="0.25">
      <c r="A174" s="430"/>
      <c r="B174" s="445"/>
      <c r="O174" s="760"/>
      <c r="P174" s="760"/>
      <c r="Q174" s="761"/>
    </row>
    <row r="175" spans="1:17" ht="13.5" thickBot="1" x14ac:dyDescent="0.35">
      <c r="B175" s="487"/>
      <c r="O175" s="760"/>
      <c r="P175" s="760"/>
      <c r="Q175" s="761"/>
    </row>
    <row r="176" spans="1:17" s="431" customFormat="1" ht="13" x14ac:dyDescent="0.3">
      <c r="A176" s="430"/>
      <c r="B176" s="437" t="s">
        <v>3373</v>
      </c>
      <c r="C176" s="438"/>
      <c r="D176" s="438"/>
      <c r="E176" s="438"/>
      <c r="F176" s="438"/>
      <c r="G176" s="438"/>
      <c r="H176" s="438"/>
      <c r="I176" s="438"/>
      <c r="J176" s="438"/>
      <c r="K176" s="438"/>
      <c r="L176" s="438"/>
      <c r="M176" s="583"/>
      <c r="O176" s="760"/>
      <c r="P176" s="760"/>
      <c r="Q176" s="761"/>
    </row>
    <row r="177" spans="1:17" ht="39" x14ac:dyDescent="0.25">
      <c r="B177" s="785" t="s">
        <v>1491</v>
      </c>
      <c r="C177" s="786" t="s">
        <v>3374</v>
      </c>
      <c r="D177" s="786" t="s">
        <v>3375</v>
      </c>
      <c r="E177" s="787"/>
      <c r="F177" s="788" t="s">
        <v>3164</v>
      </c>
      <c r="G177" s="789"/>
      <c r="H177" s="786" t="s">
        <v>3376</v>
      </c>
      <c r="I177" s="786" t="s">
        <v>3377</v>
      </c>
      <c r="J177" s="786" t="s">
        <v>3378</v>
      </c>
      <c r="K177" s="786" t="s">
        <v>3379</v>
      </c>
      <c r="L177" s="786" t="s">
        <v>3380</v>
      </c>
      <c r="M177" s="790" t="s">
        <v>3381</v>
      </c>
      <c r="O177" s="760"/>
      <c r="P177" s="760"/>
      <c r="Q177" s="761"/>
    </row>
    <row r="178" spans="1:17" ht="13" x14ac:dyDescent="0.3">
      <c r="B178" s="626"/>
      <c r="C178" s="791"/>
      <c r="D178" s="791"/>
      <c r="E178" s="792" t="s">
        <v>3168</v>
      </c>
      <c r="F178" s="792" t="s">
        <v>3171</v>
      </c>
      <c r="G178" s="792" t="s">
        <v>3172</v>
      </c>
      <c r="H178" s="791"/>
      <c r="I178" s="791"/>
      <c r="J178" s="791"/>
      <c r="K178" s="791"/>
      <c r="L178" s="791"/>
      <c r="M178" s="793"/>
      <c r="O178" s="760"/>
      <c r="P178" s="760"/>
      <c r="Q178" s="761"/>
    </row>
    <row r="179" spans="1:17" x14ac:dyDescent="0.25">
      <c r="B179" s="794"/>
      <c r="C179" s="476"/>
      <c r="D179" s="476"/>
      <c r="E179" s="476"/>
      <c r="F179" s="476"/>
      <c r="G179" s="476"/>
      <c r="H179" s="476"/>
      <c r="I179" s="476"/>
      <c r="J179" s="476"/>
      <c r="K179" s="476"/>
      <c r="L179" s="476"/>
      <c r="M179" s="477"/>
      <c r="O179" s="760"/>
      <c r="P179" s="760"/>
      <c r="Q179" s="761"/>
    </row>
    <row r="180" spans="1:17" x14ac:dyDescent="0.25">
      <c r="B180" s="794"/>
      <c r="C180" s="476"/>
      <c r="D180" s="476"/>
      <c r="E180" s="476"/>
      <c r="F180" s="476"/>
      <c r="G180" s="476"/>
      <c r="H180" s="476"/>
      <c r="I180" s="476"/>
      <c r="J180" s="476"/>
      <c r="K180" s="476"/>
      <c r="L180" s="476"/>
      <c r="M180" s="477"/>
      <c r="O180" s="760"/>
      <c r="P180" s="760"/>
      <c r="Q180" s="761"/>
    </row>
    <row r="181" spans="1:17" x14ac:dyDescent="0.25">
      <c r="B181" s="794"/>
      <c r="C181" s="476"/>
      <c r="D181" s="476"/>
      <c r="E181" s="476"/>
      <c r="F181" s="476"/>
      <c r="G181" s="476"/>
      <c r="H181" s="476"/>
      <c r="I181" s="476"/>
      <c r="J181" s="476"/>
      <c r="K181" s="476"/>
      <c r="L181" s="476"/>
      <c r="M181" s="477"/>
      <c r="O181" s="760"/>
      <c r="P181" s="760"/>
      <c r="Q181" s="761"/>
    </row>
    <row r="182" spans="1:17" ht="13" thickBot="1" x14ac:dyDescent="0.3">
      <c r="B182" s="795"/>
      <c r="C182" s="796"/>
      <c r="D182" s="796"/>
      <c r="E182" s="796"/>
      <c r="F182" s="796"/>
      <c r="G182" s="796"/>
      <c r="H182" s="796"/>
      <c r="I182" s="796"/>
      <c r="J182" s="796"/>
      <c r="K182" s="796"/>
      <c r="L182" s="796"/>
      <c r="M182" s="797"/>
      <c r="O182" s="760"/>
      <c r="P182" s="760"/>
      <c r="Q182" s="761"/>
    </row>
    <row r="183" spans="1:17" x14ac:dyDescent="0.25">
      <c r="O183" s="760"/>
      <c r="P183" s="760"/>
      <c r="Q183" s="761"/>
    </row>
    <row r="184" spans="1:17" ht="13.5" thickBot="1" x14ac:dyDescent="0.35">
      <c r="B184" s="487"/>
      <c r="O184" s="760"/>
      <c r="P184" s="760"/>
      <c r="Q184" s="761"/>
    </row>
    <row r="185" spans="1:17" s="431" customFormat="1" ht="13" x14ac:dyDescent="0.3">
      <c r="A185" s="430"/>
      <c r="B185" s="437" t="s">
        <v>3382</v>
      </c>
      <c r="C185" s="438"/>
      <c r="D185" s="438"/>
      <c r="E185" s="438"/>
      <c r="F185" s="438"/>
      <c r="G185" s="438"/>
      <c r="H185" s="438"/>
      <c r="I185" s="438"/>
      <c r="J185" s="583"/>
      <c r="O185" s="760"/>
      <c r="P185" s="760"/>
      <c r="Q185" s="761"/>
    </row>
    <row r="186" spans="1:17" ht="26" x14ac:dyDescent="0.25">
      <c r="B186" s="785" t="s">
        <v>1491</v>
      </c>
      <c r="C186" s="786" t="s">
        <v>3374</v>
      </c>
      <c r="D186" s="786" t="s">
        <v>3375</v>
      </c>
      <c r="E186" s="787"/>
      <c r="F186" s="788" t="s">
        <v>3164</v>
      </c>
      <c r="G186" s="789"/>
      <c r="H186" s="786" t="s">
        <v>3376</v>
      </c>
      <c r="I186" s="786" t="s">
        <v>3380</v>
      </c>
      <c r="J186" s="790" t="s">
        <v>3381</v>
      </c>
      <c r="O186" s="760"/>
      <c r="P186" s="760"/>
      <c r="Q186" s="761"/>
    </row>
    <row r="187" spans="1:17" ht="13" x14ac:dyDescent="0.3">
      <c r="B187" s="626"/>
      <c r="C187" s="791"/>
      <c r="D187" s="791"/>
      <c r="E187" s="792" t="s">
        <v>3168</v>
      </c>
      <c r="F187" s="792" t="s">
        <v>3171</v>
      </c>
      <c r="G187" s="792" t="s">
        <v>3172</v>
      </c>
      <c r="H187" s="791"/>
      <c r="I187" s="791"/>
      <c r="J187" s="793"/>
      <c r="O187" s="760"/>
      <c r="P187" s="760"/>
      <c r="Q187" s="761"/>
    </row>
    <row r="188" spans="1:17" x14ac:dyDescent="0.25">
      <c r="B188" s="794"/>
      <c r="C188" s="476"/>
      <c r="D188" s="476"/>
      <c r="E188" s="476"/>
      <c r="F188" s="476"/>
      <c r="G188" s="476"/>
      <c r="H188" s="476"/>
      <c r="I188" s="476"/>
      <c r="J188" s="477"/>
      <c r="O188" s="760"/>
      <c r="P188" s="760"/>
      <c r="Q188" s="761"/>
    </row>
    <row r="189" spans="1:17" x14ac:dyDescent="0.25">
      <c r="B189" s="794"/>
      <c r="C189" s="476"/>
      <c r="D189" s="476"/>
      <c r="E189" s="476"/>
      <c r="F189" s="476"/>
      <c r="G189" s="476"/>
      <c r="H189" s="476"/>
      <c r="I189" s="476"/>
      <c r="J189" s="477"/>
      <c r="O189" s="760"/>
      <c r="P189" s="760"/>
      <c r="Q189" s="761"/>
    </row>
    <row r="190" spans="1:17" x14ac:dyDescent="0.25">
      <c r="B190" s="794"/>
      <c r="C190" s="476"/>
      <c r="D190" s="476"/>
      <c r="E190" s="476"/>
      <c r="F190" s="476"/>
      <c r="G190" s="476"/>
      <c r="H190" s="476"/>
      <c r="I190" s="476"/>
      <c r="J190" s="477"/>
      <c r="O190" s="760"/>
      <c r="P190" s="760"/>
      <c r="Q190" s="761"/>
    </row>
    <row r="191" spans="1:17" ht="13" thickBot="1" x14ac:dyDescent="0.3">
      <c r="B191" s="795"/>
      <c r="C191" s="796"/>
      <c r="D191" s="796"/>
      <c r="E191" s="796"/>
      <c r="F191" s="796"/>
      <c r="G191" s="796"/>
      <c r="H191" s="796"/>
      <c r="I191" s="796"/>
      <c r="J191" s="797"/>
      <c r="O191" s="760"/>
      <c r="P191" s="760"/>
      <c r="Q191" s="761"/>
    </row>
    <row r="192" spans="1:17" x14ac:dyDescent="0.25">
      <c r="O192" s="760"/>
      <c r="P192" s="760"/>
      <c r="Q192" s="761"/>
    </row>
  </sheetData>
  <mergeCells count="5">
    <mergeCell ref="C3:E3"/>
    <mergeCell ref="B51:C51"/>
    <mergeCell ref="E52:F52"/>
    <mergeCell ref="B71:C71"/>
    <mergeCell ref="C95:D95"/>
  </mergeCell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rowBreaks count="3" manualBreakCount="3">
    <brk id="47" max="13" man="1"/>
    <brk id="97" max="13" man="1"/>
    <brk id="149" max="1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sheetPr>
  <dimension ref="A1:I62"/>
  <sheetViews>
    <sheetView view="pageBreakPreview" zoomScaleNormal="100" workbookViewId="0">
      <selection activeCell="C7" sqref="C7"/>
    </sheetView>
  </sheetViews>
  <sheetFormatPr defaultColWidth="11.453125" defaultRowHeight="12.5" x14ac:dyDescent="0.25"/>
  <cols>
    <col min="1" max="1" width="5.54296875" style="431" customWidth="1"/>
    <col min="2" max="2" width="11.453125" style="431"/>
    <col min="3" max="3" width="12" style="431" bestFit="1" customWidth="1"/>
    <col min="4" max="6" width="15.453125" style="431" bestFit="1" customWidth="1"/>
    <col min="7" max="7" width="11.54296875" style="431" bestFit="1" customWidth="1"/>
    <col min="8" max="8" width="11.453125" style="431"/>
    <col min="9" max="9" width="15.453125" style="431" bestFit="1" customWidth="1"/>
    <col min="10" max="256" width="11.453125" style="431"/>
    <col min="257" max="257" width="5.54296875" style="431" customWidth="1"/>
    <col min="258" max="258" width="11.453125" style="431"/>
    <col min="259" max="259" width="12" style="431" bestFit="1" customWidth="1"/>
    <col min="260" max="262" width="15.453125" style="431" bestFit="1" customWidth="1"/>
    <col min="263" max="263" width="11.54296875" style="431" bestFit="1" customWidth="1"/>
    <col min="264" max="264" width="11.453125" style="431"/>
    <col min="265" max="265" width="15.453125" style="431" bestFit="1" customWidth="1"/>
    <col min="266" max="512" width="11.453125" style="431"/>
    <col min="513" max="513" width="5.54296875" style="431" customWidth="1"/>
    <col min="514" max="514" width="11.453125" style="431"/>
    <col min="515" max="515" width="12" style="431" bestFit="1" customWidth="1"/>
    <col min="516" max="518" width="15.453125" style="431" bestFit="1" customWidth="1"/>
    <col min="519" max="519" width="11.54296875" style="431" bestFit="1" customWidth="1"/>
    <col min="520" max="520" width="11.453125" style="431"/>
    <col min="521" max="521" width="15.453125" style="431" bestFit="1" customWidth="1"/>
    <col min="522" max="768" width="11.453125" style="431"/>
    <col min="769" max="769" width="5.54296875" style="431" customWidth="1"/>
    <col min="770" max="770" width="11.453125" style="431"/>
    <col min="771" max="771" width="12" style="431" bestFit="1" customWidth="1"/>
    <col min="772" max="774" width="15.453125" style="431" bestFit="1" customWidth="1"/>
    <col min="775" max="775" width="11.54296875" style="431" bestFit="1" customWidth="1"/>
    <col min="776" max="776" width="11.453125" style="431"/>
    <col min="777" max="777" width="15.453125" style="431" bestFit="1" customWidth="1"/>
    <col min="778" max="1024" width="11.453125" style="431"/>
    <col min="1025" max="1025" width="5.54296875" style="431" customWidth="1"/>
    <col min="1026" max="1026" width="11.453125" style="431"/>
    <col min="1027" max="1027" width="12" style="431" bestFit="1" customWidth="1"/>
    <col min="1028" max="1030" width="15.453125" style="431" bestFit="1" customWidth="1"/>
    <col min="1031" max="1031" width="11.54296875" style="431" bestFit="1" customWidth="1"/>
    <col min="1032" max="1032" width="11.453125" style="431"/>
    <col min="1033" max="1033" width="15.453125" style="431" bestFit="1" customWidth="1"/>
    <col min="1034" max="1280" width="11.453125" style="431"/>
    <col min="1281" max="1281" width="5.54296875" style="431" customWidth="1"/>
    <col min="1282" max="1282" width="11.453125" style="431"/>
    <col min="1283" max="1283" width="12" style="431" bestFit="1" customWidth="1"/>
    <col min="1284" max="1286" width="15.453125" style="431" bestFit="1" customWidth="1"/>
    <col min="1287" max="1287" width="11.54296875" style="431" bestFit="1" customWidth="1"/>
    <col min="1288" max="1288" width="11.453125" style="431"/>
    <col min="1289" max="1289" width="15.453125" style="431" bestFit="1" customWidth="1"/>
    <col min="1290" max="1536" width="11.453125" style="431"/>
    <col min="1537" max="1537" width="5.54296875" style="431" customWidth="1"/>
    <col min="1538" max="1538" width="11.453125" style="431"/>
    <col min="1539" max="1539" width="12" style="431" bestFit="1" customWidth="1"/>
    <col min="1540" max="1542" width="15.453125" style="431" bestFit="1" customWidth="1"/>
    <col min="1543" max="1543" width="11.54296875" style="431" bestFit="1" customWidth="1"/>
    <col min="1544" max="1544" width="11.453125" style="431"/>
    <col min="1545" max="1545" width="15.453125" style="431" bestFit="1" customWidth="1"/>
    <col min="1546" max="1792" width="11.453125" style="431"/>
    <col min="1793" max="1793" width="5.54296875" style="431" customWidth="1"/>
    <col min="1794" max="1794" width="11.453125" style="431"/>
    <col min="1795" max="1795" width="12" style="431" bestFit="1" customWidth="1"/>
    <col min="1796" max="1798" width="15.453125" style="431" bestFit="1" customWidth="1"/>
    <col min="1799" max="1799" width="11.54296875" style="431" bestFit="1" customWidth="1"/>
    <col min="1800" max="1800" width="11.453125" style="431"/>
    <col min="1801" max="1801" width="15.453125" style="431" bestFit="1" customWidth="1"/>
    <col min="1802" max="2048" width="11.453125" style="431"/>
    <col min="2049" max="2049" width="5.54296875" style="431" customWidth="1"/>
    <col min="2050" max="2050" width="11.453125" style="431"/>
    <col min="2051" max="2051" width="12" style="431" bestFit="1" customWidth="1"/>
    <col min="2052" max="2054" width="15.453125" style="431" bestFit="1" customWidth="1"/>
    <col min="2055" max="2055" width="11.54296875" style="431" bestFit="1" customWidth="1"/>
    <col min="2056" max="2056" width="11.453125" style="431"/>
    <col min="2057" max="2057" width="15.453125" style="431" bestFit="1" customWidth="1"/>
    <col min="2058" max="2304" width="11.453125" style="431"/>
    <col min="2305" max="2305" width="5.54296875" style="431" customWidth="1"/>
    <col min="2306" max="2306" width="11.453125" style="431"/>
    <col min="2307" max="2307" width="12" style="431" bestFit="1" customWidth="1"/>
    <col min="2308" max="2310" width="15.453125" style="431" bestFit="1" customWidth="1"/>
    <col min="2311" max="2311" width="11.54296875" style="431" bestFit="1" customWidth="1"/>
    <col min="2312" max="2312" width="11.453125" style="431"/>
    <col min="2313" max="2313" width="15.453125" style="431" bestFit="1" customWidth="1"/>
    <col min="2314" max="2560" width="11.453125" style="431"/>
    <col min="2561" max="2561" width="5.54296875" style="431" customWidth="1"/>
    <col min="2562" max="2562" width="11.453125" style="431"/>
    <col min="2563" max="2563" width="12" style="431" bestFit="1" customWidth="1"/>
    <col min="2564" max="2566" width="15.453125" style="431" bestFit="1" customWidth="1"/>
    <col min="2567" max="2567" width="11.54296875" style="431" bestFit="1" customWidth="1"/>
    <col min="2568" max="2568" width="11.453125" style="431"/>
    <col min="2569" max="2569" width="15.453125" style="431" bestFit="1" customWidth="1"/>
    <col min="2570" max="2816" width="11.453125" style="431"/>
    <col min="2817" max="2817" width="5.54296875" style="431" customWidth="1"/>
    <col min="2818" max="2818" width="11.453125" style="431"/>
    <col min="2819" max="2819" width="12" style="431" bestFit="1" customWidth="1"/>
    <col min="2820" max="2822" width="15.453125" style="431" bestFit="1" customWidth="1"/>
    <col min="2823" max="2823" width="11.54296875" style="431" bestFit="1" customWidth="1"/>
    <col min="2824" max="2824" width="11.453125" style="431"/>
    <col min="2825" max="2825" width="15.453125" style="431" bestFit="1" customWidth="1"/>
    <col min="2826" max="3072" width="11.453125" style="431"/>
    <col min="3073" max="3073" width="5.54296875" style="431" customWidth="1"/>
    <col min="3074" max="3074" width="11.453125" style="431"/>
    <col min="3075" max="3075" width="12" style="431" bestFit="1" customWidth="1"/>
    <col min="3076" max="3078" width="15.453125" style="431" bestFit="1" customWidth="1"/>
    <col min="3079" max="3079" width="11.54296875" style="431" bestFit="1" customWidth="1"/>
    <col min="3080" max="3080" width="11.453125" style="431"/>
    <col min="3081" max="3081" width="15.453125" style="431" bestFit="1" customWidth="1"/>
    <col min="3082" max="3328" width="11.453125" style="431"/>
    <col min="3329" max="3329" width="5.54296875" style="431" customWidth="1"/>
    <col min="3330" max="3330" width="11.453125" style="431"/>
    <col min="3331" max="3331" width="12" style="431" bestFit="1" customWidth="1"/>
    <col min="3332" max="3334" width="15.453125" style="431" bestFit="1" customWidth="1"/>
    <col min="3335" max="3335" width="11.54296875" style="431" bestFit="1" customWidth="1"/>
    <col min="3336" max="3336" width="11.453125" style="431"/>
    <col min="3337" max="3337" width="15.453125" style="431" bestFit="1" customWidth="1"/>
    <col min="3338" max="3584" width="11.453125" style="431"/>
    <col min="3585" max="3585" width="5.54296875" style="431" customWidth="1"/>
    <col min="3586" max="3586" width="11.453125" style="431"/>
    <col min="3587" max="3587" width="12" style="431" bestFit="1" customWidth="1"/>
    <col min="3588" max="3590" width="15.453125" style="431" bestFit="1" customWidth="1"/>
    <col min="3591" max="3591" width="11.54296875" style="431" bestFit="1" customWidth="1"/>
    <col min="3592" max="3592" width="11.453125" style="431"/>
    <col min="3593" max="3593" width="15.453125" style="431" bestFit="1" customWidth="1"/>
    <col min="3594" max="3840" width="11.453125" style="431"/>
    <col min="3841" max="3841" width="5.54296875" style="431" customWidth="1"/>
    <col min="3842" max="3842" width="11.453125" style="431"/>
    <col min="3843" max="3843" width="12" style="431" bestFit="1" customWidth="1"/>
    <col min="3844" max="3846" width="15.453125" style="431" bestFit="1" customWidth="1"/>
    <col min="3847" max="3847" width="11.54296875" style="431" bestFit="1" customWidth="1"/>
    <col min="3848" max="3848" width="11.453125" style="431"/>
    <col min="3849" max="3849" width="15.453125" style="431" bestFit="1" customWidth="1"/>
    <col min="3850" max="4096" width="11.453125" style="431"/>
    <col min="4097" max="4097" width="5.54296875" style="431" customWidth="1"/>
    <col min="4098" max="4098" width="11.453125" style="431"/>
    <col min="4099" max="4099" width="12" style="431" bestFit="1" customWidth="1"/>
    <col min="4100" max="4102" width="15.453125" style="431" bestFit="1" customWidth="1"/>
    <col min="4103" max="4103" width="11.54296875" style="431" bestFit="1" customWidth="1"/>
    <col min="4104" max="4104" width="11.453125" style="431"/>
    <col min="4105" max="4105" width="15.453125" style="431" bestFit="1" customWidth="1"/>
    <col min="4106" max="4352" width="11.453125" style="431"/>
    <col min="4353" max="4353" width="5.54296875" style="431" customWidth="1"/>
    <col min="4354" max="4354" width="11.453125" style="431"/>
    <col min="4355" max="4355" width="12" style="431" bestFit="1" customWidth="1"/>
    <col min="4356" max="4358" width="15.453125" style="431" bestFit="1" customWidth="1"/>
    <col min="4359" max="4359" width="11.54296875" style="431" bestFit="1" customWidth="1"/>
    <col min="4360" max="4360" width="11.453125" style="431"/>
    <col min="4361" max="4361" width="15.453125" style="431" bestFit="1" customWidth="1"/>
    <col min="4362" max="4608" width="11.453125" style="431"/>
    <col min="4609" max="4609" width="5.54296875" style="431" customWidth="1"/>
    <col min="4610" max="4610" width="11.453125" style="431"/>
    <col min="4611" max="4611" width="12" style="431" bestFit="1" customWidth="1"/>
    <col min="4612" max="4614" width="15.453125" style="431" bestFit="1" customWidth="1"/>
    <col min="4615" max="4615" width="11.54296875" style="431" bestFit="1" customWidth="1"/>
    <col min="4616" max="4616" width="11.453125" style="431"/>
    <col min="4617" max="4617" width="15.453125" style="431" bestFit="1" customWidth="1"/>
    <col min="4618" max="4864" width="11.453125" style="431"/>
    <col min="4865" max="4865" width="5.54296875" style="431" customWidth="1"/>
    <col min="4866" max="4866" width="11.453125" style="431"/>
    <col min="4867" max="4867" width="12" style="431" bestFit="1" customWidth="1"/>
    <col min="4868" max="4870" width="15.453125" style="431" bestFit="1" customWidth="1"/>
    <col min="4871" max="4871" width="11.54296875" style="431" bestFit="1" customWidth="1"/>
    <col min="4872" max="4872" width="11.453125" style="431"/>
    <col min="4873" max="4873" width="15.453125" style="431" bestFit="1" customWidth="1"/>
    <col min="4874" max="5120" width="11.453125" style="431"/>
    <col min="5121" max="5121" width="5.54296875" style="431" customWidth="1"/>
    <col min="5122" max="5122" width="11.453125" style="431"/>
    <col min="5123" max="5123" width="12" style="431" bestFit="1" customWidth="1"/>
    <col min="5124" max="5126" width="15.453125" style="431" bestFit="1" customWidth="1"/>
    <col min="5127" max="5127" width="11.54296875" style="431" bestFit="1" customWidth="1"/>
    <col min="5128" max="5128" width="11.453125" style="431"/>
    <col min="5129" max="5129" width="15.453125" style="431" bestFit="1" customWidth="1"/>
    <col min="5130" max="5376" width="11.453125" style="431"/>
    <col min="5377" max="5377" width="5.54296875" style="431" customWidth="1"/>
    <col min="5378" max="5378" width="11.453125" style="431"/>
    <col min="5379" max="5379" width="12" style="431" bestFit="1" customWidth="1"/>
    <col min="5380" max="5382" width="15.453125" style="431" bestFit="1" customWidth="1"/>
    <col min="5383" max="5383" width="11.54296875" style="431" bestFit="1" customWidth="1"/>
    <col min="5384" max="5384" width="11.453125" style="431"/>
    <col min="5385" max="5385" width="15.453125" style="431" bestFit="1" customWidth="1"/>
    <col min="5386" max="5632" width="11.453125" style="431"/>
    <col min="5633" max="5633" width="5.54296875" style="431" customWidth="1"/>
    <col min="5634" max="5634" width="11.453125" style="431"/>
    <col min="5635" max="5635" width="12" style="431" bestFit="1" customWidth="1"/>
    <col min="5636" max="5638" width="15.453125" style="431" bestFit="1" customWidth="1"/>
    <col min="5639" max="5639" width="11.54296875" style="431" bestFit="1" customWidth="1"/>
    <col min="5640" max="5640" width="11.453125" style="431"/>
    <col min="5641" max="5641" width="15.453125" style="431" bestFit="1" customWidth="1"/>
    <col min="5642" max="5888" width="11.453125" style="431"/>
    <col min="5889" max="5889" width="5.54296875" style="431" customWidth="1"/>
    <col min="5890" max="5890" width="11.453125" style="431"/>
    <col min="5891" max="5891" width="12" style="431" bestFit="1" customWidth="1"/>
    <col min="5892" max="5894" width="15.453125" style="431" bestFit="1" customWidth="1"/>
    <col min="5895" max="5895" width="11.54296875" style="431" bestFit="1" customWidth="1"/>
    <col min="5896" max="5896" width="11.453125" style="431"/>
    <col min="5897" max="5897" width="15.453125" style="431" bestFit="1" customWidth="1"/>
    <col min="5898" max="6144" width="11.453125" style="431"/>
    <col min="6145" max="6145" width="5.54296875" style="431" customWidth="1"/>
    <col min="6146" max="6146" width="11.453125" style="431"/>
    <col min="6147" max="6147" width="12" style="431" bestFit="1" customWidth="1"/>
    <col min="6148" max="6150" width="15.453125" style="431" bestFit="1" customWidth="1"/>
    <col min="6151" max="6151" width="11.54296875" style="431" bestFit="1" customWidth="1"/>
    <col min="6152" max="6152" width="11.453125" style="431"/>
    <col min="6153" max="6153" width="15.453125" style="431" bestFit="1" customWidth="1"/>
    <col min="6154" max="6400" width="11.453125" style="431"/>
    <col min="6401" max="6401" width="5.54296875" style="431" customWidth="1"/>
    <col min="6402" max="6402" width="11.453125" style="431"/>
    <col min="6403" max="6403" width="12" style="431" bestFit="1" customWidth="1"/>
    <col min="6404" max="6406" width="15.453125" style="431" bestFit="1" customWidth="1"/>
    <col min="6407" max="6407" width="11.54296875" style="431" bestFit="1" customWidth="1"/>
    <col min="6408" max="6408" width="11.453125" style="431"/>
    <col min="6409" max="6409" width="15.453125" style="431" bestFit="1" customWidth="1"/>
    <col min="6410" max="6656" width="11.453125" style="431"/>
    <col min="6657" max="6657" width="5.54296875" style="431" customWidth="1"/>
    <col min="6658" max="6658" width="11.453125" style="431"/>
    <col min="6659" max="6659" width="12" style="431" bestFit="1" customWidth="1"/>
    <col min="6660" max="6662" width="15.453125" style="431" bestFit="1" customWidth="1"/>
    <col min="6663" max="6663" width="11.54296875" style="431" bestFit="1" customWidth="1"/>
    <col min="6664" max="6664" width="11.453125" style="431"/>
    <col min="6665" max="6665" width="15.453125" style="431" bestFit="1" customWidth="1"/>
    <col min="6666" max="6912" width="11.453125" style="431"/>
    <col min="6913" max="6913" width="5.54296875" style="431" customWidth="1"/>
    <col min="6914" max="6914" width="11.453125" style="431"/>
    <col min="6915" max="6915" width="12" style="431" bestFit="1" customWidth="1"/>
    <col min="6916" max="6918" width="15.453125" style="431" bestFit="1" customWidth="1"/>
    <col min="6919" max="6919" width="11.54296875" style="431" bestFit="1" customWidth="1"/>
    <col min="6920" max="6920" width="11.453125" style="431"/>
    <col min="6921" max="6921" width="15.453125" style="431" bestFit="1" customWidth="1"/>
    <col min="6922" max="7168" width="11.453125" style="431"/>
    <col min="7169" max="7169" width="5.54296875" style="431" customWidth="1"/>
    <col min="7170" max="7170" width="11.453125" style="431"/>
    <col min="7171" max="7171" width="12" style="431" bestFit="1" customWidth="1"/>
    <col min="7172" max="7174" width="15.453125" style="431" bestFit="1" customWidth="1"/>
    <col min="7175" max="7175" width="11.54296875" style="431" bestFit="1" customWidth="1"/>
    <col min="7176" max="7176" width="11.453125" style="431"/>
    <col min="7177" max="7177" width="15.453125" style="431" bestFit="1" customWidth="1"/>
    <col min="7178" max="7424" width="11.453125" style="431"/>
    <col min="7425" max="7425" width="5.54296875" style="431" customWidth="1"/>
    <col min="7426" max="7426" width="11.453125" style="431"/>
    <col min="7427" max="7427" width="12" style="431" bestFit="1" customWidth="1"/>
    <col min="7428" max="7430" width="15.453125" style="431" bestFit="1" customWidth="1"/>
    <col min="7431" max="7431" width="11.54296875" style="431" bestFit="1" customWidth="1"/>
    <col min="7432" max="7432" width="11.453125" style="431"/>
    <col min="7433" max="7433" width="15.453125" style="431" bestFit="1" customWidth="1"/>
    <col min="7434" max="7680" width="11.453125" style="431"/>
    <col min="7681" max="7681" width="5.54296875" style="431" customWidth="1"/>
    <col min="7682" max="7682" width="11.453125" style="431"/>
    <col min="7683" max="7683" width="12" style="431" bestFit="1" customWidth="1"/>
    <col min="7684" max="7686" width="15.453125" style="431" bestFit="1" customWidth="1"/>
    <col min="7687" max="7687" width="11.54296875" style="431" bestFit="1" customWidth="1"/>
    <col min="7688" max="7688" width="11.453125" style="431"/>
    <col min="7689" max="7689" width="15.453125" style="431" bestFit="1" customWidth="1"/>
    <col min="7690" max="7936" width="11.453125" style="431"/>
    <col min="7937" max="7937" width="5.54296875" style="431" customWidth="1"/>
    <col min="7938" max="7938" width="11.453125" style="431"/>
    <col min="7939" max="7939" width="12" style="431" bestFit="1" customWidth="1"/>
    <col min="7940" max="7942" width="15.453125" style="431" bestFit="1" customWidth="1"/>
    <col min="7943" max="7943" width="11.54296875" style="431" bestFit="1" customWidth="1"/>
    <col min="7944" max="7944" width="11.453125" style="431"/>
    <col min="7945" max="7945" width="15.453125" style="431" bestFit="1" customWidth="1"/>
    <col min="7946" max="8192" width="11.453125" style="431"/>
    <col min="8193" max="8193" width="5.54296875" style="431" customWidth="1"/>
    <col min="8194" max="8194" width="11.453125" style="431"/>
    <col min="8195" max="8195" width="12" style="431" bestFit="1" customWidth="1"/>
    <col min="8196" max="8198" width="15.453125" style="431" bestFit="1" customWidth="1"/>
    <col min="8199" max="8199" width="11.54296875" style="431" bestFit="1" customWidth="1"/>
    <col min="8200" max="8200" width="11.453125" style="431"/>
    <col min="8201" max="8201" width="15.453125" style="431" bestFit="1" customWidth="1"/>
    <col min="8202" max="8448" width="11.453125" style="431"/>
    <col min="8449" max="8449" width="5.54296875" style="431" customWidth="1"/>
    <col min="8450" max="8450" width="11.453125" style="431"/>
    <col min="8451" max="8451" width="12" style="431" bestFit="1" customWidth="1"/>
    <col min="8452" max="8454" width="15.453125" style="431" bestFit="1" customWidth="1"/>
    <col min="8455" max="8455" width="11.54296875" style="431" bestFit="1" customWidth="1"/>
    <col min="8456" max="8456" width="11.453125" style="431"/>
    <col min="8457" max="8457" width="15.453125" style="431" bestFit="1" customWidth="1"/>
    <col min="8458" max="8704" width="11.453125" style="431"/>
    <col min="8705" max="8705" width="5.54296875" style="431" customWidth="1"/>
    <col min="8706" max="8706" width="11.453125" style="431"/>
    <col min="8707" max="8707" width="12" style="431" bestFit="1" customWidth="1"/>
    <col min="8708" max="8710" width="15.453125" style="431" bestFit="1" customWidth="1"/>
    <col min="8711" max="8711" width="11.54296875" style="431" bestFit="1" customWidth="1"/>
    <col min="8712" max="8712" width="11.453125" style="431"/>
    <col min="8713" max="8713" width="15.453125" style="431" bestFit="1" customWidth="1"/>
    <col min="8714" max="8960" width="11.453125" style="431"/>
    <col min="8961" max="8961" width="5.54296875" style="431" customWidth="1"/>
    <col min="8962" max="8962" width="11.453125" style="431"/>
    <col min="8963" max="8963" width="12" style="431" bestFit="1" customWidth="1"/>
    <col min="8964" max="8966" width="15.453125" style="431" bestFit="1" customWidth="1"/>
    <col min="8967" max="8967" width="11.54296875" style="431" bestFit="1" customWidth="1"/>
    <col min="8968" max="8968" width="11.453125" style="431"/>
    <col min="8969" max="8969" width="15.453125" style="431" bestFit="1" customWidth="1"/>
    <col min="8970" max="9216" width="11.453125" style="431"/>
    <col min="9217" max="9217" width="5.54296875" style="431" customWidth="1"/>
    <col min="9218" max="9218" width="11.453125" style="431"/>
    <col min="9219" max="9219" width="12" style="431" bestFit="1" customWidth="1"/>
    <col min="9220" max="9222" width="15.453125" style="431" bestFit="1" customWidth="1"/>
    <col min="9223" max="9223" width="11.54296875" style="431" bestFit="1" customWidth="1"/>
    <col min="9224" max="9224" width="11.453125" style="431"/>
    <col min="9225" max="9225" width="15.453125" style="431" bestFit="1" customWidth="1"/>
    <col min="9226" max="9472" width="11.453125" style="431"/>
    <col min="9473" max="9473" width="5.54296875" style="431" customWidth="1"/>
    <col min="9474" max="9474" width="11.453125" style="431"/>
    <col min="9475" max="9475" width="12" style="431" bestFit="1" customWidth="1"/>
    <col min="9476" max="9478" width="15.453125" style="431" bestFit="1" customWidth="1"/>
    <col min="9479" max="9479" width="11.54296875" style="431" bestFit="1" customWidth="1"/>
    <col min="9480" max="9480" width="11.453125" style="431"/>
    <col min="9481" max="9481" width="15.453125" style="431" bestFit="1" customWidth="1"/>
    <col min="9482" max="9728" width="11.453125" style="431"/>
    <col min="9729" max="9729" width="5.54296875" style="431" customWidth="1"/>
    <col min="9730" max="9730" width="11.453125" style="431"/>
    <col min="9731" max="9731" width="12" style="431" bestFit="1" customWidth="1"/>
    <col min="9732" max="9734" width="15.453125" style="431" bestFit="1" customWidth="1"/>
    <col min="9735" max="9735" width="11.54296875" style="431" bestFit="1" customWidth="1"/>
    <col min="9736" max="9736" width="11.453125" style="431"/>
    <col min="9737" max="9737" width="15.453125" style="431" bestFit="1" customWidth="1"/>
    <col min="9738" max="9984" width="11.453125" style="431"/>
    <col min="9985" max="9985" width="5.54296875" style="431" customWidth="1"/>
    <col min="9986" max="9986" width="11.453125" style="431"/>
    <col min="9987" max="9987" width="12" style="431" bestFit="1" customWidth="1"/>
    <col min="9988" max="9990" width="15.453125" style="431" bestFit="1" customWidth="1"/>
    <col min="9991" max="9991" width="11.54296875" style="431" bestFit="1" customWidth="1"/>
    <col min="9992" max="9992" width="11.453125" style="431"/>
    <col min="9993" max="9993" width="15.453125" style="431" bestFit="1" customWidth="1"/>
    <col min="9994" max="10240" width="11.453125" style="431"/>
    <col min="10241" max="10241" width="5.54296875" style="431" customWidth="1"/>
    <col min="10242" max="10242" width="11.453125" style="431"/>
    <col min="10243" max="10243" width="12" style="431" bestFit="1" customWidth="1"/>
    <col min="10244" max="10246" width="15.453125" style="431" bestFit="1" customWidth="1"/>
    <col min="10247" max="10247" width="11.54296875" style="431" bestFit="1" customWidth="1"/>
    <col min="10248" max="10248" width="11.453125" style="431"/>
    <col min="10249" max="10249" width="15.453125" style="431" bestFit="1" customWidth="1"/>
    <col min="10250" max="10496" width="11.453125" style="431"/>
    <col min="10497" max="10497" width="5.54296875" style="431" customWidth="1"/>
    <col min="10498" max="10498" width="11.453125" style="431"/>
    <col min="10499" max="10499" width="12" style="431" bestFit="1" customWidth="1"/>
    <col min="10500" max="10502" width="15.453125" style="431" bestFit="1" customWidth="1"/>
    <col min="10503" max="10503" width="11.54296875" style="431" bestFit="1" customWidth="1"/>
    <col min="10504" max="10504" width="11.453125" style="431"/>
    <col min="10505" max="10505" width="15.453125" style="431" bestFit="1" customWidth="1"/>
    <col min="10506" max="10752" width="11.453125" style="431"/>
    <col min="10753" max="10753" width="5.54296875" style="431" customWidth="1"/>
    <col min="10754" max="10754" width="11.453125" style="431"/>
    <col min="10755" max="10755" width="12" style="431" bestFit="1" customWidth="1"/>
    <col min="10756" max="10758" width="15.453125" style="431" bestFit="1" customWidth="1"/>
    <col min="10759" max="10759" width="11.54296875" style="431" bestFit="1" customWidth="1"/>
    <col min="10760" max="10760" width="11.453125" style="431"/>
    <col min="10761" max="10761" width="15.453125" style="431" bestFit="1" customWidth="1"/>
    <col min="10762" max="11008" width="11.453125" style="431"/>
    <col min="11009" max="11009" width="5.54296875" style="431" customWidth="1"/>
    <col min="11010" max="11010" width="11.453125" style="431"/>
    <col min="11011" max="11011" width="12" style="431" bestFit="1" customWidth="1"/>
    <col min="11012" max="11014" width="15.453125" style="431" bestFit="1" customWidth="1"/>
    <col min="11015" max="11015" width="11.54296875" style="431" bestFit="1" customWidth="1"/>
    <col min="11016" max="11016" width="11.453125" style="431"/>
    <col min="11017" max="11017" width="15.453125" style="431" bestFit="1" customWidth="1"/>
    <col min="11018" max="11264" width="11.453125" style="431"/>
    <col min="11265" max="11265" width="5.54296875" style="431" customWidth="1"/>
    <col min="11266" max="11266" width="11.453125" style="431"/>
    <col min="11267" max="11267" width="12" style="431" bestFit="1" customWidth="1"/>
    <col min="11268" max="11270" width="15.453125" style="431" bestFit="1" customWidth="1"/>
    <col min="11271" max="11271" width="11.54296875" style="431" bestFit="1" customWidth="1"/>
    <col min="11272" max="11272" width="11.453125" style="431"/>
    <col min="11273" max="11273" width="15.453125" style="431" bestFit="1" customWidth="1"/>
    <col min="11274" max="11520" width="11.453125" style="431"/>
    <col min="11521" max="11521" width="5.54296875" style="431" customWidth="1"/>
    <col min="11522" max="11522" width="11.453125" style="431"/>
    <col min="11523" max="11523" width="12" style="431" bestFit="1" customWidth="1"/>
    <col min="11524" max="11526" width="15.453125" style="431" bestFit="1" customWidth="1"/>
    <col min="11527" max="11527" width="11.54296875" style="431" bestFit="1" customWidth="1"/>
    <col min="11528" max="11528" width="11.453125" style="431"/>
    <col min="11529" max="11529" width="15.453125" style="431" bestFit="1" customWidth="1"/>
    <col min="11530" max="11776" width="11.453125" style="431"/>
    <col min="11777" max="11777" width="5.54296875" style="431" customWidth="1"/>
    <col min="11778" max="11778" width="11.453125" style="431"/>
    <col min="11779" max="11779" width="12" style="431" bestFit="1" customWidth="1"/>
    <col min="11780" max="11782" width="15.453125" style="431" bestFit="1" customWidth="1"/>
    <col min="11783" max="11783" width="11.54296875" style="431" bestFit="1" customWidth="1"/>
    <col min="11784" max="11784" width="11.453125" style="431"/>
    <col min="11785" max="11785" width="15.453125" style="431" bestFit="1" customWidth="1"/>
    <col min="11786" max="12032" width="11.453125" style="431"/>
    <col min="12033" max="12033" width="5.54296875" style="431" customWidth="1"/>
    <col min="12034" max="12034" width="11.453125" style="431"/>
    <col min="12035" max="12035" width="12" style="431" bestFit="1" customWidth="1"/>
    <col min="12036" max="12038" width="15.453125" style="431" bestFit="1" customWidth="1"/>
    <col min="12039" max="12039" width="11.54296875" style="431" bestFit="1" customWidth="1"/>
    <col min="12040" max="12040" width="11.453125" style="431"/>
    <col min="12041" max="12041" width="15.453125" style="431" bestFit="1" customWidth="1"/>
    <col min="12042" max="12288" width="11.453125" style="431"/>
    <col min="12289" max="12289" width="5.54296875" style="431" customWidth="1"/>
    <col min="12290" max="12290" width="11.453125" style="431"/>
    <col min="12291" max="12291" width="12" style="431" bestFit="1" customWidth="1"/>
    <col min="12292" max="12294" width="15.453125" style="431" bestFit="1" customWidth="1"/>
    <col min="12295" max="12295" width="11.54296875" style="431" bestFit="1" customWidth="1"/>
    <col min="12296" max="12296" width="11.453125" style="431"/>
    <col min="12297" max="12297" width="15.453125" style="431" bestFit="1" customWidth="1"/>
    <col min="12298" max="12544" width="11.453125" style="431"/>
    <col min="12545" max="12545" width="5.54296875" style="431" customWidth="1"/>
    <col min="12546" max="12546" width="11.453125" style="431"/>
    <col min="12547" max="12547" width="12" style="431" bestFit="1" customWidth="1"/>
    <col min="12548" max="12550" width="15.453125" style="431" bestFit="1" customWidth="1"/>
    <col min="12551" max="12551" width="11.54296875" style="431" bestFit="1" customWidth="1"/>
    <col min="12552" max="12552" width="11.453125" style="431"/>
    <col min="12553" max="12553" width="15.453125" style="431" bestFit="1" customWidth="1"/>
    <col min="12554" max="12800" width="11.453125" style="431"/>
    <col min="12801" max="12801" width="5.54296875" style="431" customWidth="1"/>
    <col min="12802" max="12802" width="11.453125" style="431"/>
    <col min="12803" max="12803" width="12" style="431" bestFit="1" customWidth="1"/>
    <col min="12804" max="12806" width="15.453125" style="431" bestFit="1" customWidth="1"/>
    <col min="12807" max="12807" width="11.54296875" style="431" bestFit="1" customWidth="1"/>
    <col min="12808" max="12808" width="11.453125" style="431"/>
    <col min="12809" max="12809" width="15.453125" style="431" bestFit="1" customWidth="1"/>
    <col min="12810" max="13056" width="11.453125" style="431"/>
    <col min="13057" max="13057" width="5.54296875" style="431" customWidth="1"/>
    <col min="13058" max="13058" width="11.453125" style="431"/>
    <col min="13059" max="13059" width="12" style="431" bestFit="1" customWidth="1"/>
    <col min="13060" max="13062" width="15.453125" style="431" bestFit="1" customWidth="1"/>
    <col min="13063" max="13063" width="11.54296875" style="431" bestFit="1" customWidth="1"/>
    <col min="13064" max="13064" width="11.453125" style="431"/>
    <col min="13065" max="13065" width="15.453125" style="431" bestFit="1" customWidth="1"/>
    <col min="13066" max="13312" width="11.453125" style="431"/>
    <col min="13313" max="13313" width="5.54296875" style="431" customWidth="1"/>
    <col min="13314" max="13314" width="11.453125" style="431"/>
    <col min="13315" max="13315" width="12" style="431" bestFit="1" customWidth="1"/>
    <col min="13316" max="13318" width="15.453125" style="431" bestFit="1" customWidth="1"/>
    <col min="13319" max="13319" width="11.54296875" style="431" bestFit="1" customWidth="1"/>
    <col min="13320" max="13320" width="11.453125" style="431"/>
    <col min="13321" max="13321" width="15.453125" style="431" bestFit="1" customWidth="1"/>
    <col min="13322" max="13568" width="11.453125" style="431"/>
    <col min="13569" max="13569" width="5.54296875" style="431" customWidth="1"/>
    <col min="13570" max="13570" width="11.453125" style="431"/>
    <col min="13571" max="13571" width="12" style="431" bestFit="1" customWidth="1"/>
    <col min="13572" max="13574" width="15.453125" style="431" bestFit="1" customWidth="1"/>
    <col min="13575" max="13575" width="11.54296875" style="431" bestFit="1" customWidth="1"/>
    <col min="13576" max="13576" width="11.453125" style="431"/>
    <col min="13577" max="13577" width="15.453125" style="431" bestFit="1" customWidth="1"/>
    <col min="13578" max="13824" width="11.453125" style="431"/>
    <col min="13825" max="13825" width="5.54296875" style="431" customWidth="1"/>
    <col min="13826" max="13826" width="11.453125" style="431"/>
    <col min="13827" max="13827" width="12" style="431" bestFit="1" customWidth="1"/>
    <col min="13828" max="13830" width="15.453125" style="431" bestFit="1" customWidth="1"/>
    <col min="13831" max="13831" width="11.54296875" style="431" bestFit="1" customWidth="1"/>
    <col min="13832" max="13832" width="11.453125" style="431"/>
    <col min="13833" max="13833" width="15.453125" style="431" bestFit="1" customWidth="1"/>
    <col min="13834" max="14080" width="11.453125" style="431"/>
    <col min="14081" max="14081" width="5.54296875" style="431" customWidth="1"/>
    <col min="14082" max="14082" width="11.453125" style="431"/>
    <col min="14083" max="14083" width="12" style="431" bestFit="1" customWidth="1"/>
    <col min="14084" max="14086" width="15.453125" style="431" bestFit="1" customWidth="1"/>
    <col min="14087" max="14087" width="11.54296875" style="431" bestFit="1" customWidth="1"/>
    <col min="14088" max="14088" width="11.453125" style="431"/>
    <col min="14089" max="14089" width="15.453125" style="431" bestFit="1" customWidth="1"/>
    <col min="14090" max="14336" width="11.453125" style="431"/>
    <col min="14337" max="14337" width="5.54296875" style="431" customWidth="1"/>
    <col min="14338" max="14338" width="11.453125" style="431"/>
    <col min="14339" max="14339" width="12" style="431" bestFit="1" customWidth="1"/>
    <col min="14340" max="14342" width="15.453125" style="431" bestFit="1" customWidth="1"/>
    <col min="14343" max="14343" width="11.54296875" style="431" bestFit="1" customWidth="1"/>
    <col min="14344" max="14344" width="11.453125" style="431"/>
    <col min="14345" max="14345" width="15.453125" style="431" bestFit="1" customWidth="1"/>
    <col min="14346" max="14592" width="11.453125" style="431"/>
    <col min="14593" max="14593" width="5.54296875" style="431" customWidth="1"/>
    <col min="14594" max="14594" width="11.453125" style="431"/>
    <col min="14595" max="14595" width="12" style="431" bestFit="1" customWidth="1"/>
    <col min="14596" max="14598" width="15.453125" style="431" bestFit="1" customWidth="1"/>
    <col min="14599" max="14599" width="11.54296875" style="431" bestFit="1" customWidth="1"/>
    <col min="14600" max="14600" width="11.453125" style="431"/>
    <col min="14601" max="14601" width="15.453125" style="431" bestFit="1" customWidth="1"/>
    <col min="14602" max="14848" width="11.453125" style="431"/>
    <col min="14849" max="14849" width="5.54296875" style="431" customWidth="1"/>
    <col min="14850" max="14850" width="11.453125" style="431"/>
    <col min="14851" max="14851" width="12" style="431" bestFit="1" customWidth="1"/>
    <col min="14852" max="14854" width="15.453125" style="431" bestFit="1" customWidth="1"/>
    <col min="14855" max="14855" width="11.54296875" style="431" bestFit="1" customWidth="1"/>
    <col min="14856" max="14856" width="11.453125" style="431"/>
    <col min="14857" max="14857" width="15.453125" style="431" bestFit="1" customWidth="1"/>
    <col min="14858" max="15104" width="11.453125" style="431"/>
    <col min="15105" max="15105" width="5.54296875" style="431" customWidth="1"/>
    <col min="15106" max="15106" width="11.453125" style="431"/>
    <col min="15107" max="15107" width="12" style="431" bestFit="1" customWidth="1"/>
    <col min="15108" max="15110" width="15.453125" style="431" bestFit="1" customWidth="1"/>
    <col min="15111" max="15111" width="11.54296875" style="431" bestFit="1" customWidth="1"/>
    <col min="15112" max="15112" width="11.453125" style="431"/>
    <col min="15113" max="15113" width="15.453125" style="431" bestFit="1" customWidth="1"/>
    <col min="15114" max="15360" width="11.453125" style="431"/>
    <col min="15361" max="15361" width="5.54296875" style="431" customWidth="1"/>
    <col min="15362" max="15362" width="11.453125" style="431"/>
    <col min="15363" max="15363" width="12" style="431" bestFit="1" customWidth="1"/>
    <col min="15364" max="15366" width="15.453125" style="431" bestFit="1" customWidth="1"/>
    <col min="15367" max="15367" width="11.54296875" style="431" bestFit="1" customWidth="1"/>
    <col min="15368" max="15368" width="11.453125" style="431"/>
    <col min="15369" max="15369" width="15.453125" style="431" bestFit="1" customWidth="1"/>
    <col min="15370" max="15616" width="11.453125" style="431"/>
    <col min="15617" max="15617" width="5.54296875" style="431" customWidth="1"/>
    <col min="15618" max="15618" width="11.453125" style="431"/>
    <col min="15619" max="15619" width="12" style="431" bestFit="1" customWidth="1"/>
    <col min="15620" max="15622" width="15.453125" style="431" bestFit="1" customWidth="1"/>
    <col min="15623" max="15623" width="11.54296875" style="431" bestFit="1" customWidth="1"/>
    <col min="15624" max="15624" width="11.453125" style="431"/>
    <col min="15625" max="15625" width="15.453125" style="431" bestFit="1" customWidth="1"/>
    <col min="15626" max="15872" width="11.453125" style="431"/>
    <col min="15873" max="15873" width="5.54296875" style="431" customWidth="1"/>
    <col min="15874" max="15874" width="11.453125" style="431"/>
    <col min="15875" max="15875" width="12" style="431" bestFit="1" customWidth="1"/>
    <col min="15876" max="15878" width="15.453125" style="431" bestFit="1" customWidth="1"/>
    <col min="15879" max="15879" width="11.54296875" style="431" bestFit="1" customWidth="1"/>
    <col min="15880" max="15880" width="11.453125" style="431"/>
    <col min="15881" max="15881" width="15.453125" style="431" bestFit="1" customWidth="1"/>
    <col min="15882" max="16128" width="11.453125" style="431"/>
    <col min="16129" max="16129" width="5.54296875" style="431" customWidth="1"/>
    <col min="16130" max="16130" width="11.453125" style="431"/>
    <col min="16131" max="16131" width="12" style="431" bestFit="1" customWidth="1"/>
    <col min="16132" max="16134" width="15.453125" style="431" bestFit="1" customWidth="1"/>
    <col min="16135" max="16135" width="11.54296875" style="431" bestFit="1" customWidth="1"/>
    <col min="16136" max="16136" width="11.453125" style="431"/>
    <col min="16137" max="16137" width="15.453125" style="431" bestFit="1" customWidth="1"/>
    <col min="16138" max="16384" width="11.453125" style="431"/>
  </cols>
  <sheetData>
    <row r="1" spans="1:9" s="429" customFormat="1" ht="13" x14ac:dyDescent="0.3">
      <c r="A1" s="798"/>
      <c r="B1" s="428" t="s">
        <v>3152</v>
      </c>
    </row>
    <row r="2" spans="1:9" ht="13" thickBot="1" x14ac:dyDescent="0.3">
      <c r="A2" s="584"/>
    </row>
    <row r="3" spans="1:9" ht="13.5" thickBot="1" x14ac:dyDescent="0.35">
      <c r="A3" s="584"/>
      <c r="B3" s="432" t="s">
        <v>3153</v>
      </c>
      <c r="C3" s="852" t="s">
        <v>3154</v>
      </c>
      <c r="D3" s="853"/>
      <c r="E3" s="854"/>
    </row>
    <row r="4" spans="1:9" ht="13.5" thickBot="1" x14ac:dyDescent="0.35">
      <c r="A4" s="584"/>
      <c r="B4" s="432" t="s">
        <v>3155</v>
      </c>
      <c r="C4" s="433">
        <f>REPORTING_DATE</f>
        <v>45291</v>
      </c>
    </row>
    <row r="5" spans="1:9" x14ac:dyDescent="0.25">
      <c r="A5" s="584"/>
    </row>
    <row r="6" spans="1:9" s="428" customFormat="1" ht="13" x14ac:dyDescent="0.3">
      <c r="A6" s="436">
        <v>6</v>
      </c>
      <c r="B6" s="428" t="s">
        <v>3383</v>
      </c>
    </row>
    <row r="7" spans="1:9" x14ac:dyDescent="0.25">
      <c r="A7" s="430"/>
    </row>
    <row r="8" spans="1:9" x14ac:dyDescent="0.25">
      <c r="A8" s="430"/>
    </row>
    <row r="9" spans="1:9" ht="13" x14ac:dyDescent="0.3">
      <c r="A9" s="430" t="s">
        <v>3384</v>
      </c>
      <c r="B9" s="487" t="s">
        <v>3385</v>
      </c>
    </row>
    <row r="10" spans="1:9" ht="13.5" thickBot="1" x14ac:dyDescent="0.35">
      <c r="A10" s="430"/>
      <c r="B10" s="487"/>
    </row>
    <row r="11" spans="1:9" ht="13.5" thickBot="1" x14ac:dyDescent="0.35">
      <c r="A11" s="430"/>
      <c r="D11" s="581">
        <v>2023</v>
      </c>
      <c r="E11" s="581">
        <v>2022</v>
      </c>
      <c r="F11" s="581">
        <v>2021</v>
      </c>
      <c r="G11" s="581">
        <v>2020</v>
      </c>
    </row>
    <row r="12" spans="1:9" ht="13" x14ac:dyDescent="0.3">
      <c r="A12" s="430"/>
      <c r="B12" s="437" t="s">
        <v>3386</v>
      </c>
      <c r="C12" s="437"/>
      <c r="D12" s="799">
        <v>3500</v>
      </c>
      <c r="E12" s="799">
        <v>4750</v>
      </c>
      <c r="F12" s="799">
        <v>3250</v>
      </c>
      <c r="G12" s="800">
        <v>3250</v>
      </c>
    </row>
    <row r="13" spans="1:9" ht="13.5" thickBot="1" x14ac:dyDescent="0.35">
      <c r="A13" s="430"/>
      <c r="B13" s="473" t="s">
        <v>3387</v>
      </c>
      <c r="C13" s="441"/>
      <c r="D13" s="801">
        <v>0</v>
      </c>
      <c r="E13" s="801">
        <v>0</v>
      </c>
      <c r="F13" s="802">
        <v>0</v>
      </c>
      <c r="G13" s="803">
        <v>0</v>
      </c>
      <c r="I13" s="804"/>
    </row>
    <row r="14" spans="1:9" ht="13.5" thickBot="1" x14ac:dyDescent="0.35">
      <c r="A14" s="430"/>
      <c r="B14" s="519" t="s">
        <v>3388</v>
      </c>
      <c r="C14" s="520"/>
      <c r="D14" s="805">
        <f>SUM(D12:D13)</f>
        <v>3500</v>
      </c>
      <c r="E14" s="805">
        <f>SUM(E12:E13)</f>
        <v>4750</v>
      </c>
      <c r="F14" s="805">
        <f t="shared" ref="F14:G14" si="0">SUM(F12:F13)</f>
        <v>3250</v>
      </c>
      <c r="G14" s="806">
        <f t="shared" si="0"/>
        <v>3250</v>
      </c>
    </row>
    <row r="15" spans="1:9" ht="13" thickBot="1" x14ac:dyDescent="0.3">
      <c r="A15" s="430"/>
      <c r="D15" s="807"/>
      <c r="E15" s="807"/>
      <c r="F15" s="807"/>
      <c r="G15" s="807"/>
      <c r="I15" s="804"/>
    </row>
    <row r="16" spans="1:9" ht="13" x14ac:dyDescent="0.3">
      <c r="A16" s="430"/>
      <c r="B16" s="437" t="s">
        <v>3389</v>
      </c>
      <c r="C16" s="438"/>
      <c r="D16" s="799">
        <f>D12</f>
        <v>3500</v>
      </c>
      <c r="E16" s="799">
        <f>E12</f>
        <v>4750</v>
      </c>
      <c r="F16" s="799">
        <v>3250</v>
      </c>
      <c r="G16" s="800">
        <f>G12</f>
        <v>3250</v>
      </c>
      <c r="I16" s="804"/>
    </row>
    <row r="17" spans="1:9" ht="13" x14ac:dyDescent="0.3">
      <c r="A17" s="430"/>
      <c r="B17" s="473" t="s">
        <v>3390</v>
      </c>
      <c r="C17" s="474"/>
      <c r="D17" s="808">
        <v>0</v>
      </c>
      <c r="E17" s="808">
        <v>0</v>
      </c>
      <c r="F17" s="809">
        <v>0</v>
      </c>
      <c r="G17" s="810">
        <v>0</v>
      </c>
      <c r="I17" s="804"/>
    </row>
    <row r="18" spans="1:9" ht="13.5" thickBot="1" x14ac:dyDescent="0.35">
      <c r="A18" s="430"/>
      <c r="B18" s="441" t="s">
        <v>143</v>
      </c>
      <c r="C18" s="442"/>
      <c r="D18" s="811"/>
      <c r="E18" s="811"/>
      <c r="F18" s="811"/>
      <c r="G18" s="580"/>
    </row>
    <row r="19" spans="1:9" ht="13.5" thickBot="1" x14ac:dyDescent="0.35">
      <c r="A19" s="430"/>
      <c r="B19" s="519" t="s">
        <v>3388</v>
      </c>
      <c r="C19" s="520"/>
      <c r="D19" s="805">
        <f>SUM(D16:D18)</f>
        <v>3500</v>
      </c>
      <c r="E19" s="812">
        <f>SUM(E16:E18)</f>
        <v>4750</v>
      </c>
      <c r="F19" s="805">
        <f t="shared" ref="F19:G19" si="1">SUM(F16:F18)</f>
        <v>3250</v>
      </c>
      <c r="G19" s="813">
        <f t="shared" si="1"/>
        <v>3250</v>
      </c>
    </row>
    <row r="20" spans="1:9" ht="13" thickBot="1" x14ac:dyDescent="0.3">
      <c r="A20" s="430"/>
      <c r="D20" s="807"/>
      <c r="E20" s="807"/>
      <c r="F20" s="807"/>
      <c r="G20" s="644"/>
    </row>
    <row r="21" spans="1:9" ht="13" x14ac:dyDescent="0.3">
      <c r="A21" s="430"/>
      <c r="B21" s="437" t="s">
        <v>266</v>
      </c>
      <c r="C21" s="438"/>
      <c r="D21" s="799">
        <f>D19</f>
        <v>3500</v>
      </c>
      <c r="E21" s="799">
        <f>E19</f>
        <v>4750</v>
      </c>
      <c r="F21" s="799">
        <f>F19</f>
        <v>3250</v>
      </c>
      <c r="G21" s="814">
        <f>G19</f>
        <v>3250</v>
      </c>
    </row>
    <row r="22" spans="1:9" ht="13" x14ac:dyDescent="0.3">
      <c r="A22" s="430"/>
      <c r="B22" s="473" t="s">
        <v>268</v>
      </c>
      <c r="C22" s="474"/>
      <c r="D22" s="815"/>
      <c r="E22" s="815"/>
      <c r="F22" s="815"/>
      <c r="G22" s="446"/>
    </row>
    <row r="23" spans="1:9" ht="13.5" thickBot="1" x14ac:dyDescent="0.35">
      <c r="A23" s="430"/>
      <c r="B23" s="473" t="s">
        <v>143</v>
      </c>
      <c r="C23" s="474"/>
      <c r="D23" s="815"/>
      <c r="E23" s="815"/>
      <c r="F23" s="815"/>
      <c r="G23" s="446"/>
    </row>
    <row r="24" spans="1:9" ht="13.5" thickBot="1" x14ac:dyDescent="0.35">
      <c r="A24" s="430"/>
      <c r="B24" s="519" t="s">
        <v>3388</v>
      </c>
      <c r="C24" s="520"/>
      <c r="D24" s="805">
        <f>SUM(D21:D23)</f>
        <v>3500</v>
      </c>
      <c r="E24" s="805">
        <f t="shared" ref="E24:G24" si="2">SUM(E21:E23)</f>
        <v>4750</v>
      </c>
      <c r="F24" s="805">
        <f t="shared" si="2"/>
        <v>3250</v>
      </c>
      <c r="G24" s="813">
        <f t="shared" si="2"/>
        <v>3250</v>
      </c>
    </row>
    <row r="25" spans="1:9" x14ac:dyDescent="0.25">
      <c r="A25" s="430"/>
      <c r="F25" s="584"/>
    </row>
    <row r="26" spans="1:9" x14ac:dyDescent="0.25">
      <c r="A26" s="430"/>
      <c r="F26" s="584"/>
    </row>
    <row r="27" spans="1:9" ht="13" x14ac:dyDescent="0.3">
      <c r="A27" s="430" t="s">
        <v>3391</v>
      </c>
      <c r="B27" s="487" t="s">
        <v>3392</v>
      </c>
      <c r="F27" s="584"/>
    </row>
    <row r="28" spans="1:9" ht="13" thickBot="1" x14ac:dyDescent="0.3">
      <c r="F28" s="584"/>
    </row>
    <row r="29" spans="1:9" ht="13" x14ac:dyDescent="0.3">
      <c r="A29" s="430"/>
      <c r="B29" s="437" t="s">
        <v>3386</v>
      </c>
      <c r="C29" s="438"/>
      <c r="D29" s="816">
        <f>BONDS_EMIS_ANNEE_N_MOINS_UN</f>
        <v>0</v>
      </c>
      <c r="E29" s="816">
        <f>BONDS_EMIS_ANNEE_N_MOINS_DEUX</f>
        <v>2500</v>
      </c>
      <c r="F29" s="816">
        <f>BONDS_EMIS_ANNEE_N_MOINS_TROIS</f>
        <v>0</v>
      </c>
      <c r="G29" s="817">
        <v>0</v>
      </c>
    </row>
    <row r="30" spans="1:9" ht="13.5" thickBot="1" x14ac:dyDescent="0.35">
      <c r="A30" s="430"/>
      <c r="B30" s="473" t="s">
        <v>3387</v>
      </c>
      <c r="C30" s="474"/>
      <c r="D30" s="818"/>
      <c r="E30" s="818"/>
      <c r="F30" s="818"/>
      <c r="G30" s="819"/>
    </row>
    <row r="31" spans="1:9" ht="13.5" thickBot="1" x14ac:dyDescent="0.35">
      <c r="A31" s="430"/>
      <c r="B31" s="519" t="s">
        <v>3388</v>
      </c>
      <c r="C31" s="520"/>
      <c r="D31" s="820">
        <f>SUM(D29:D30)</f>
        <v>0</v>
      </c>
      <c r="E31" s="820">
        <f t="shared" ref="E31:G31" si="3">SUM(E29:E30)</f>
        <v>2500</v>
      </c>
      <c r="F31" s="820">
        <f t="shared" si="3"/>
        <v>0</v>
      </c>
      <c r="G31" s="821">
        <f t="shared" si="3"/>
        <v>0</v>
      </c>
    </row>
    <row r="32" spans="1:9" ht="13" thickBot="1" x14ac:dyDescent="0.3">
      <c r="A32" s="430"/>
      <c r="D32" s="822"/>
      <c r="E32" s="822"/>
      <c r="F32" s="822"/>
      <c r="G32" s="822"/>
    </row>
    <row r="33" spans="1:7" ht="13" x14ac:dyDescent="0.3">
      <c r="A33" s="430"/>
      <c r="B33" s="437" t="s">
        <v>3389</v>
      </c>
      <c r="C33" s="438"/>
      <c r="D33" s="816"/>
      <c r="E33" s="816"/>
      <c r="F33" s="816"/>
      <c r="G33" s="817">
        <v>0</v>
      </c>
    </row>
    <row r="34" spans="1:7" ht="13" x14ac:dyDescent="0.3">
      <c r="A34" s="430"/>
      <c r="B34" s="473" t="s">
        <v>3390</v>
      </c>
      <c r="C34" s="474"/>
      <c r="D34" s="818"/>
      <c r="E34" s="818"/>
      <c r="F34" s="818"/>
      <c r="G34" s="819"/>
    </row>
    <row r="35" spans="1:7" ht="13.5" thickBot="1" x14ac:dyDescent="0.35">
      <c r="A35" s="430"/>
      <c r="B35" s="473" t="s">
        <v>143</v>
      </c>
      <c r="C35" s="474"/>
      <c r="D35" s="818"/>
      <c r="E35" s="818"/>
      <c r="F35" s="818"/>
      <c r="G35" s="819"/>
    </row>
    <row r="36" spans="1:7" ht="13.5" thickBot="1" x14ac:dyDescent="0.35">
      <c r="A36" s="430"/>
      <c r="B36" s="519" t="s">
        <v>3388</v>
      </c>
      <c r="C36" s="520"/>
      <c r="D36" s="820">
        <v>0</v>
      </c>
      <c r="E36" s="820">
        <v>0</v>
      </c>
      <c r="F36" s="820">
        <v>0</v>
      </c>
      <c r="G36" s="821">
        <v>0</v>
      </c>
    </row>
    <row r="37" spans="1:7" ht="13" thickBot="1" x14ac:dyDescent="0.3">
      <c r="A37" s="430"/>
      <c r="D37" s="822"/>
      <c r="E37" s="822"/>
      <c r="F37" s="822"/>
      <c r="G37" s="822"/>
    </row>
    <row r="38" spans="1:7" ht="13" x14ac:dyDescent="0.3">
      <c r="A38" s="430"/>
      <c r="B38" s="437" t="s">
        <v>266</v>
      </c>
      <c r="C38" s="438"/>
      <c r="D38" s="816"/>
      <c r="E38" s="816"/>
      <c r="F38" s="816"/>
      <c r="G38" s="817">
        <v>0</v>
      </c>
    </row>
    <row r="39" spans="1:7" ht="13" x14ac:dyDescent="0.3">
      <c r="A39" s="430"/>
      <c r="B39" s="473" t="s">
        <v>268</v>
      </c>
      <c r="C39" s="474"/>
      <c r="D39" s="823"/>
      <c r="E39" s="818"/>
      <c r="F39" s="818"/>
      <c r="G39" s="824"/>
    </row>
    <row r="40" spans="1:7" ht="13.5" thickBot="1" x14ac:dyDescent="0.35">
      <c r="A40" s="430"/>
      <c r="B40" s="473" t="s">
        <v>143</v>
      </c>
      <c r="C40" s="474"/>
      <c r="D40" s="825"/>
      <c r="E40" s="826"/>
      <c r="F40" s="827"/>
      <c r="G40" s="828"/>
    </row>
    <row r="41" spans="1:7" ht="13.5" thickBot="1" x14ac:dyDescent="0.35">
      <c r="A41" s="430"/>
      <c r="B41" s="519" t="s">
        <v>3388</v>
      </c>
      <c r="C41" s="520"/>
      <c r="D41" s="820">
        <f>SUM(D38:D40)</f>
        <v>0</v>
      </c>
      <c r="E41" s="820">
        <f t="shared" ref="E41:G41" si="4">SUM(E38:E40)</f>
        <v>0</v>
      </c>
      <c r="F41" s="820">
        <f t="shared" si="4"/>
        <v>0</v>
      </c>
      <c r="G41" s="821">
        <f t="shared" si="4"/>
        <v>0</v>
      </c>
    </row>
    <row r="42" spans="1:7" x14ac:dyDescent="0.25">
      <c r="A42" s="430"/>
    </row>
    <row r="43" spans="1:7" x14ac:dyDescent="0.25">
      <c r="A43" s="430"/>
    </row>
    <row r="44" spans="1:7" x14ac:dyDescent="0.25">
      <c r="A44" s="430"/>
    </row>
    <row r="45" spans="1:7" x14ac:dyDescent="0.25">
      <c r="A45" s="430"/>
    </row>
    <row r="46" spans="1:7" x14ac:dyDescent="0.25">
      <c r="A46" s="430"/>
    </row>
    <row r="47" spans="1:7" x14ac:dyDescent="0.25">
      <c r="A47" s="430"/>
    </row>
    <row r="48" spans="1:7" x14ac:dyDescent="0.25">
      <c r="A48" s="430"/>
    </row>
    <row r="49" spans="1:1" x14ac:dyDescent="0.25">
      <c r="A49" s="430"/>
    </row>
    <row r="50" spans="1:1" x14ac:dyDescent="0.25">
      <c r="A50" s="430"/>
    </row>
    <row r="51" spans="1:1" x14ac:dyDescent="0.25">
      <c r="A51" s="430"/>
    </row>
    <row r="52" spans="1:1" x14ac:dyDescent="0.25">
      <c r="A52" s="430"/>
    </row>
    <row r="53" spans="1:1" x14ac:dyDescent="0.25">
      <c r="A53" s="430"/>
    </row>
    <row r="54" spans="1:1" x14ac:dyDescent="0.25">
      <c r="A54" s="430"/>
    </row>
    <row r="55" spans="1:1" x14ac:dyDescent="0.25">
      <c r="A55" s="430"/>
    </row>
    <row r="56" spans="1:1" x14ac:dyDescent="0.25">
      <c r="A56" s="430"/>
    </row>
    <row r="57" spans="1:1" x14ac:dyDescent="0.25">
      <c r="A57" s="430"/>
    </row>
    <row r="58" spans="1:1" x14ac:dyDescent="0.25">
      <c r="A58" s="430"/>
    </row>
    <row r="59" spans="1:1" x14ac:dyDescent="0.25">
      <c r="A59" s="430"/>
    </row>
    <row r="60" spans="1:1" x14ac:dyDescent="0.25">
      <c r="A60" s="430"/>
    </row>
    <row r="61" spans="1:1" x14ac:dyDescent="0.25">
      <c r="A61" s="430"/>
    </row>
    <row r="62" spans="1:1" x14ac:dyDescent="0.25">
      <c r="A62" s="430"/>
    </row>
  </sheetData>
  <mergeCells count="1">
    <mergeCell ref="C3:E3"/>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
  <sheetViews>
    <sheetView zoomScale="80" zoomScaleNormal="80" workbookViewId="0"/>
  </sheetViews>
  <sheetFormatPr defaultColWidth="9.1796875" defaultRowHeight="14.5" x14ac:dyDescent="0.35"/>
  <sheetData/>
  <pageMargins left="0.7" right="0.7" top="0.75" bottom="0.75" header="0.3" footer="0.3"/>
  <pageSetup paperSize="9" orientation="portrait" r:id="rId1"/>
  <headerFooter>
    <oddFooter>&amp;C&amp;1#&amp;"Calibri"&amp;10&amp;K000000INTERNE</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zoomScale="80" zoomScaleNormal="80" workbookViewId="0">
      <selection activeCell="C7" sqref="C7"/>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875" t="s">
        <v>1511</v>
      </c>
      <c r="B1" s="875"/>
    </row>
    <row r="2" spans="1:13" ht="31" x14ac:dyDescent="0.35">
      <c r="A2" s="184" t="s">
        <v>1510</v>
      </c>
      <c r="B2" s="184"/>
      <c r="C2" s="64"/>
      <c r="D2" s="64"/>
      <c r="E2" s="64"/>
      <c r="F2" s="369" t="s">
        <v>2773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210</v>
      </c>
      <c r="D4" s="67"/>
      <c r="E4" s="67"/>
      <c r="F4" s="64"/>
      <c r="G4" s="64"/>
      <c r="H4" s="64"/>
      <c r="I4" s="77" t="s">
        <v>1503</v>
      </c>
      <c r="J4" s="119" t="s">
        <v>1206</v>
      </c>
      <c r="L4" s="64"/>
      <c r="M4" s="64"/>
    </row>
    <row r="5" spans="1:13" ht="15" thickBot="1" x14ac:dyDescent="0.4">
      <c r="H5" s="64"/>
      <c r="I5" s="138" t="s">
        <v>1208</v>
      </c>
      <c r="J5" s="66" t="s">
        <v>1209</v>
      </c>
      <c r="L5" s="64"/>
      <c r="M5" s="64"/>
    </row>
    <row r="6" spans="1:13" ht="18.5" x14ac:dyDescent="0.35">
      <c r="A6" s="70"/>
      <c r="B6" s="71" t="s">
        <v>1408</v>
      </c>
      <c r="C6" s="70"/>
      <c r="E6" s="72"/>
      <c r="F6" s="72"/>
      <c r="G6" s="72"/>
      <c r="H6" s="64"/>
      <c r="I6" s="138" t="s">
        <v>1211</v>
      </c>
      <c r="J6" s="66" t="s">
        <v>1212</v>
      </c>
      <c r="L6" s="64"/>
      <c r="M6" s="64"/>
    </row>
    <row r="7" spans="1:13" x14ac:dyDescent="0.35">
      <c r="B7" s="74" t="s">
        <v>1509</v>
      </c>
      <c r="H7" s="64"/>
      <c r="I7" s="138" t="s">
        <v>1214</v>
      </c>
      <c r="J7" s="66" t="s">
        <v>1215</v>
      </c>
      <c r="L7" s="64"/>
      <c r="M7" s="64"/>
    </row>
    <row r="8" spans="1:13" x14ac:dyDescent="0.35">
      <c r="B8" s="74" t="s">
        <v>1421</v>
      </c>
      <c r="H8" s="64"/>
      <c r="I8" s="138" t="s">
        <v>1501</v>
      </c>
      <c r="J8" s="66" t="s">
        <v>1502</v>
      </c>
      <c r="L8" s="64"/>
      <c r="M8" s="64"/>
    </row>
    <row r="9" spans="1:13" ht="15" thickBot="1" x14ac:dyDescent="0.4">
      <c r="B9" s="75" t="s">
        <v>1443</v>
      </c>
      <c r="H9" s="64"/>
      <c r="L9" s="64"/>
      <c r="M9" s="64"/>
    </row>
    <row r="10" spans="1:13" x14ac:dyDescent="0.35">
      <c r="B10" s="76"/>
      <c r="H10" s="64"/>
      <c r="I10" s="139" t="s">
        <v>1505</v>
      </c>
      <c r="L10" s="64"/>
      <c r="M10" s="64"/>
    </row>
    <row r="11" spans="1:13" x14ac:dyDescent="0.35">
      <c r="B11" s="76"/>
      <c r="H11" s="64"/>
      <c r="I11" s="139" t="s">
        <v>1507</v>
      </c>
      <c r="L11" s="64"/>
      <c r="M11" s="64"/>
    </row>
    <row r="12" spans="1:13" ht="37" x14ac:dyDescent="0.35">
      <c r="A12" s="77" t="s">
        <v>80</v>
      </c>
      <c r="B12" s="77" t="s">
        <v>1492</v>
      </c>
      <c r="C12" s="78"/>
      <c r="D12" s="78"/>
      <c r="E12" s="78"/>
      <c r="F12" s="78"/>
      <c r="G12" s="78"/>
      <c r="H12" s="64"/>
      <c r="L12" s="64"/>
      <c r="M12" s="64"/>
    </row>
    <row r="13" spans="1:13" ht="15" customHeight="1" x14ac:dyDescent="0.35">
      <c r="A13" s="85"/>
      <c r="B13" s="86" t="s">
        <v>1420</v>
      </c>
      <c r="C13" s="85" t="s">
        <v>1491</v>
      </c>
      <c r="D13" s="85" t="s">
        <v>1504</v>
      </c>
      <c r="E13" s="87"/>
      <c r="F13" s="88"/>
      <c r="G13" s="88"/>
      <c r="H13" s="64"/>
      <c r="L13" s="64"/>
      <c r="M13" s="64"/>
    </row>
    <row r="14" spans="1:13" x14ac:dyDescent="0.35">
      <c r="A14" s="66" t="s">
        <v>1409</v>
      </c>
      <c r="B14" s="83" t="s">
        <v>1398</v>
      </c>
      <c r="C14" s="136" t="s">
        <v>1485</v>
      </c>
      <c r="D14" s="136" t="s">
        <v>1485</v>
      </c>
      <c r="E14" s="72"/>
      <c r="F14" s="72"/>
      <c r="G14" s="72"/>
      <c r="H14" s="64"/>
      <c r="L14" s="64"/>
      <c r="M14" s="64"/>
    </row>
    <row r="15" spans="1:13" x14ac:dyDescent="0.35">
      <c r="A15" s="66" t="s">
        <v>1410</v>
      </c>
      <c r="B15" s="83" t="s">
        <v>404</v>
      </c>
      <c r="C15" s="66" t="s">
        <v>3159</v>
      </c>
      <c r="E15" s="72"/>
      <c r="F15" s="72"/>
      <c r="G15" s="72"/>
      <c r="H15" s="64"/>
      <c r="L15" s="64"/>
      <c r="M15" s="64"/>
    </row>
    <row r="16" spans="1:13" x14ac:dyDescent="0.35">
      <c r="A16" s="66" t="s">
        <v>1411</v>
      </c>
      <c r="B16" s="83" t="s">
        <v>1399</v>
      </c>
      <c r="E16" s="72"/>
      <c r="F16" s="72"/>
      <c r="G16" s="72"/>
      <c r="H16" s="64"/>
      <c r="L16" s="64"/>
      <c r="M16" s="64"/>
    </row>
    <row r="17" spans="1:13" x14ac:dyDescent="0.35">
      <c r="A17" s="66" t="s">
        <v>1412</v>
      </c>
      <c r="B17" s="261" t="s">
        <v>1400</v>
      </c>
      <c r="E17" s="72"/>
      <c r="F17" s="72"/>
      <c r="G17" s="72"/>
      <c r="H17" s="64"/>
      <c r="L17" s="64"/>
      <c r="M17" s="64"/>
    </row>
    <row r="18" spans="1:13" x14ac:dyDescent="0.35">
      <c r="A18" s="66" t="s">
        <v>1413</v>
      </c>
      <c r="B18" s="83" t="s">
        <v>1401</v>
      </c>
      <c r="C18" s="66" t="str">
        <f>C15</f>
        <v>HSBC Continental Europe</v>
      </c>
      <c r="E18" s="72"/>
      <c r="F18" s="72"/>
      <c r="G18" s="72"/>
      <c r="H18" s="64"/>
      <c r="L18" s="64"/>
      <c r="M18" s="64"/>
    </row>
    <row r="19" spans="1:13" x14ac:dyDescent="0.35">
      <c r="A19" s="66" t="s">
        <v>1414</v>
      </c>
      <c r="B19" s="83" t="s">
        <v>1402</v>
      </c>
      <c r="E19" s="72"/>
      <c r="F19" s="72"/>
      <c r="G19" s="72"/>
      <c r="H19" s="64"/>
      <c r="L19" s="64"/>
      <c r="M19" s="64"/>
    </row>
    <row r="20" spans="1:13" x14ac:dyDescent="0.35">
      <c r="A20" s="66" t="s">
        <v>1415</v>
      </c>
      <c r="B20" s="83" t="s">
        <v>1403</v>
      </c>
      <c r="C20" s="66" t="str">
        <f>C15</f>
        <v>HSBC Continental Europe</v>
      </c>
      <c r="E20" s="72"/>
      <c r="F20" s="72"/>
      <c r="G20" s="72"/>
      <c r="H20" s="64"/>
      <c r="L20" s="64"/>
      <c r="M20" s="64"/>
    </row>
    <row r="21" spans="1:13" x14ac:dyDescent="0.35">
      <c r="A21" s="66" t="s">
        <v>1416</v>
      </c>
      <c r="B21" s="83" t="s">
        <v>1404</v>
      </c>
      <c r="E21" s="72"/>
      <c r="F21" s="72"/>
      <c r="G21" s="72"/>
      <c r="H21" s="64"/>
      <c r="L21" s="64"/>
      <c r="M21" s="64"/>
    </row>
    <row r="22" spans="1:13" x14ac:dyDescent="0.35">
      <c r="A22" s="66" t="s">
        <v>1417</v>
      </c>
      <c r="B22" s="83" t="s">
        <v>1405</v>
      </c>
      <c r="E22" s="72"/>
      <c r="F22" s="72"/>
      <c r="G22" s="72"/>
      <c r="H22" s="64"/>
      <c r="L22" s="64"/>
      <c r="M22" s="64"/>
    </row>
    <row r="23" spans="1:13" x14ac:dyDescent="0.35">
      <c r="A23" s="66" t="s">
        <v>1418</v>
      </c>
      <c r="B23" s="83" t="s">
        <v>1487</v>
      </c>
      <c r="E23" s="72"/>
      <c r="F23" s="72"/>
      <c r="G23" s="72"/>
      <c r="H23" s="64"/>
      <c r="L23" s="64"/>
      <c r="M23" s="64"/>
    </row>
    <row r="24" spans="1:13" x14ac:dyDescent="0.35">
      <c r="A24" s="66" t="s">
        <v>1489</v>
      </c>
      <c r="B24" s="83" t="s">
        <v>1488</v>
      </c>
      <c r="E24" s="72"/>
      <c r="F24" s="72"/>
      <c r="G24" s="72"/>
      <c r="H24" s="64"/>
      <c r="L24" s="64"/>
      <c r="M24" s="64"/>
    </row>
    <row r="25" spans="1:13" outlineLevel="1" x14ac:dyDescent="0.35">
      <c r="A25" s="66" t="s">
        <v>1419</v>
      </c>
      <c r="B25" s="81" t="s">
        <v>2618</v>
      </c>
      <c r="C25" s="275"/>
      <c r="D25" s="275"/>
      <c r="E25" s="72"/>
      <c r="F25" s="72"/>
      <c r="G25" s="72"/>
      <c r="H25" s="64"/>
      <c r="L25" s="64"/>
      <c r="M25" s="64"/>
    </row>
    <row r="26" spans="1:13" outlineLevel="1" x14ac:dyDescent="0.35">
      <c r="A26" s="66" t="s">
        <v>1422</v>
      </c>
      <c r="B26" s="337"/>
      <c r="C26" s="339"/>
      <c r="D26" s="339"/>
      <c r="E26" s="72"/>
      <c r="F26" s="72"/>
      <c r="G26" s="72"/>
      <c r="H26" s="64"/>
      <c r="L26" s="64"/>
      <c r="M26" s="64"/>
    </row>
    <row r="27" spans="1:13" outlineLevel="1" x14ac:dyDescent="0.35">
      <c r="A27" s="66" t="s">
        <v>1423</v>
      </c>
      <c r="B27" s="337"/>
      <c r="C27" s="339"/>
      <c r="D27" s="339"/>
      <c r="E27" s="72"/>
      <c r="F27" s="72"/>
      <c r="G27" s="72"/>
      <c r="H27" s="64"/>
      <c r="L27" s="64"/>
      <c r="M27" s="64"/>
    </row>
    <row r="28" spans="1:13" outlineLevel="1" x14ac:dyDescent="0.35">
      <c r="A28" s="66" t="s">
        <v>1424</v>
      </c>
      <c r="B28" s="337"/>
      <c r="C28" s="339"/>
      <c r="D28" s="339"/>
      <c r="E28" s="72"/>
      <c r="F28" s="72"/>
      <c r="G28" s="72"/>
      <c r="H28" s="64"/>
      <c r="L28" s="64"/>
      <c r="M28" s="64"/>
    </row>
    <row r="29" spans="1:13" outlineLevel="1" x14ac:dyDescent="0.35">
      <c r="A29" s="66" t="s">
        <v>1425</v>
      </c>
      <c r="B29" s="337"/>
      <c r="C29" s="339"/>
      <c r="D29" s="339"/>
      <c r="E29" s="72"/>
      <c r="F29" s="72"/>
      <c r="G29" s="72"/>
      <c r="H29" s="64"/>
      <c r="L29" s="64"/>
      <c r="M29" s="64"/>
    </row>
    <row r="30" spans="1:13" outlineLevel="1" x14ac:dyDescent="0.35">
      <c r="A30" s="66" t="s">
        <v>1426</v>
      </c>
      <c r="B30" s="337"/>
      <c r="C30" s="339"/>
      <c r="D30" s="339"/>
      <c r="E30" s="72"/>
      <c r="F30" s="72"/>
      <c r="G30" s="72"/>
      <c r="H30" s="64"/>
      <c r="L30" s="64"/>
      <c r="M30" s="64"/>
    </row>
    <row r="31" spans="1:13" outlineLevel="1" x14ac:dyDescent="0.35">
      <c r="A31" s="66" t="s">
        <v>1427</v>
      </c>
      <c r="B31" s="337"/>
      <c r="C31" s="339"/>
      <c r="D31" s="339"/>
      <c r="E31" s="72"/>
      <c r="F31" s="72"/>
      <c r="G31" s="72"/>
      <c r="H31" s="64"/>
      <c r="L31" s="64"/>
      <c r="M31" s="64"/>
    </row>
    <row r="32" spans="1:13" outlineLevel="1" x14ac:dyDescent="0.35">
      <c r="A32" s="66" t="s">
        <v>1428</v>
      </c>
      <c r="B32" s="337"/>
      <c r="C32" s="339"/>
      <c r="D32" s="339"/>
      <c r="E32" s="72"/>
      <c r="F32" s="72"/>
      <c r="G32" s="72"/>
      <c r="H32" s="64"/>
      <c r="L32" s="64"/>
      <c r="M32" s="64"/>
    </row>
    <row r="33" spans="1:13" ht="18.5" x14ac:dyDescent="0.35">
      <c r="A33" s="78"/>
      <c r="B33" s="77" t="s">
        <v>1421</v>
      </c>
      <c r="C33" s="78"/>
      <c r="D33" s="78"/>
      <c r="E33" s="78"/>
      <c r="F33" s="78"/>
      <c r="G33" s="78"/>
      <c r="H33" s="64"/>
      <c r="L33" s="64"/>
      <c r="M33" s="64"/>
    </row>
    <row r="34" spans="1:13" ht="15" customHeight="1" x14ac:dyDescent="0.35">
      <c r="A34" s="85"/>
      <c r="B34" s="86" t="s">
        <v>1406</v>
      </c>
      <c r="C34" s="85" t="s">
        <v>1499</v>
      </c>
      <c r="D34" s="85" t="s">
        <v>1504</v>
      </c>
      <c r="E34" s="85" t="s">
        <v>1407</v>
      </c>
      <c r="F34" s="88"/>
      <c r="G34" s="88"/>
      <c r="H34" s="64"/>
      <c r="L34" s="64"/>
      <c r="M34" s="64"/>
    </row>
    <row r="35" spans="1:13" x14ac:dyDescent="0.35">
      <c r="A35" s="66" t="s">
        <v>1444</v>
      </c>
      <c r="B35" s="136" t="s">
        <v>1485</v>
      </c>
      <c r="C35" s="136" t="s">
        <v>1500</v>
      </c>
      <c r="D35" s="136" t="s">
        <v>1486</v>
      </c>
      <c r="E35" s="136" t="s">
        <v>1484</v>
      </c>
      <c r="F35" s="137"/>
      <c r="G35" s="137"/>
      <c r="H35" s="64"/>
      <c r="L35" s="64"/>
      <c r="M35" s="64"/>
    </row>
    <row r="36" spans="1:13" x14ac:dyDescent="0.35">
      <c r="A36" s="66" t="s">
        <v>1445</v>
      </c>
      <c r="B36" s="83"/>
      <c r="H36" s="64"/>
      <c r="L36" s="64"/>
      <c r="M36" s="64"/>
    </row>
    <row r="37" spans="1:13" x14ac:dyDescent="0.35">
      <c r="A37" s="66" t="s">
        <v>1446</v>
      </c>
      <c r="B37" s="83"/>
      <c r="H37" s="64"/>
      <c r="L37" s="64"/>
      <c r="M37" s="64"/>
    </row>
    <row r="38" spans="1:13" x14ac:dyDescent="0.35">
      <c r="A38" s="66" t="s">
        <v>1447</v>
      </c>
      <c r="B38" s="83"/>
      <c r="H38" s="64"/>
      <c r="L38" s="64"/>
      <c r="M38" s="64"/>
    </row>
    <row r="39" spans="1:13" x14ac:dyDescent="0.35">
      <c r="A39" s="66" t="s">
        <v>1448</v>
      </c>
      <c r="B39" s="83"/>
      <c r="H39" s="64"/>
      <c r="L39" s="64"/>
      <c r="M39" s="64"/>
    </row>
    <row r="40" spans="1:13" x14ac:dyDescent="0.35">
      <c r="A40" s="66" t="s">
        <v>1449</v>
      </c>
      <c r="B40" s="83"/>
      <c r="H40" s="64"/>
      <c r="L40" s="64"/>
      <c r="M40" s="64"/>
    </row>
    <row r="41" spans="1:13" x14ac:dyDescent="0.35">
      <c r="A41" s="66" t="s">
        <v>1450</v>
      </c>
      <c r="B41" s="83"/>
      <c r="H41" s="64"/>
      <c r="L41" s="64"/>
      <c r="M41" s="64"/>
    </row>
    <row r="42" spans="1:13" x14ac:dyDescent="0.35">
      <c r="A42" s="66" t="s">
        <v>1451</v>
      </c>
      <c r="B42" s="83"/>
      <c r="H42" s="64"/>
      <c r="L42" s="64"/>
      <c r="M42" s="64"/>
    </row>
    <row r="43" spans="1:13" x14ac:dyDescent="0.35">
      <c r="A43" s="66" t="s">
        <v>1452</v>
      </c>
      <c r="B43" s="83"/>
      <c r="H43" s="64"/>
      <c r="L43" s="64"/>
      <c r="M43" s="64"/>
    </row>
    <row r="44" spans="1:13" x14ac:dyDescent="0.35">
      <c r="A44" s="66" t="s">
        <v>1453</v>
      </c>
      <c r="B44" s="83"/>
      <c r="H44" s="64"/>
      <c r="L44" s="64"/>
      <c r="M44" s="64"/>
    </row>
    <row r="45" spans="1:13" x14ac:dyDescent="0.35">
      <c r="A45" s="66" t="s">
        <v>1454</v>
      </c>
      <c r="B45" s="83"/>
      <c r="H45" s="64"/>
      <c r="L45" s="64"/>
      <c r="M45" s="64"/>
    </row>
    <row r="46" spans="1:13" x14ac:dyDescent="0.35">
      <c r="A46" s="66" t="s">
        <v>1455</v>
      </c>
      <c r="B46" s="83"/>
      <c r="H46" s="64"/>
      <c r="L46" s="64"/>
      <c r="M46" s="64"/>
    </row>
    <row r="47" spans="1:13" x14ac:dyDescent="0.35">
      <c r="A47" s="66" t="s">
        <v>1456</v>
      </c>
      <c r="B47" s="83"/>
      <c r="H47" s="64"/>
      <c r="L47" s="64"/>
      <c r="M47" s="64"/>
    </row>
    <row r="48" spans="1:13" x14ac:dyDescent="0.35">
      <c r="A48" s="66" t="s">
        <v>1457</v>
      </c>
      <c r="B48" s="83"/>
      <c r="H48" s="64"/>
      <c r="L48" s="64"/>
      <c r="M48" s="64"/>
    </row>
    <row r="49" spans="1:13" x14ac:dyDescent="0.35">
      <c r="A49" s="66" t="s">
        <v>1458</v>
      </c>
      <c r="B49" s="83"/>
      <c r="H49" s="64"/>
      <c r="L49" s="64"/>
      <c r="M49" s="64"/>
    </row>
    <row r="50" spans="1:13" x14ac:dyDescent="0.35">
      <c r="A50" s="66" t="s">
        <v>1459</v>
      </c>
      <c r="B50" s="83"/>
      <c r="H50" s="64"/>
      <c r="L50" s="64"/>
      <c r="M50" s="64"/>
    </row>
    <row r="51" spans="1:13" x14ac:dyDescent="0.35">
      <c r="A51" s="66" t="s">
        <v>1460</v>
      </c>
      <c r="B51" s="83"/>
      <c r="H51" s="64"/>
      <c r="L51" s="64"/>
      <c r="M51" s="64"/>
    </row>
    <row r="52" spans="1:13" x14ac:dyDescent="0.35">
      <c r="A52" s="66" t="s">
        <v>1461</v>
      </c>
      <c r="B52" s="83"/>
      <c r="H52" s="64"/>
      <c r="L52" s="64"/>
      <c r="M52" s="64"/>
    </row>
    <row r="53" spans="1:13" x14ac:dyDescent="0.35">
      <c r="A53" s="66" t="s">
        <v>1462</v>
      </c>
      <c r="B53" s="83"/>
      <c r="H53" s="64"/>
      <c r="L53" s="64"/>
      <c r="M53" s="64"/>
    </row>
    <row r="54" spans="1:13" x14ac:dyDescent="0.35">
      <c r="A54" s="66" t="s">
        <v>1463</v>
      </c>
      <c r="B54" s="83"/>
      <c r="H54" s="64"/>
      <c r="L54" s="64"/>
      <c r="M54" s="64"/>
    </row>
    <row r="55" spans="1:13" x14ac:dyDescent="0.35">
      <c r="A55" s="66" t="s">
        <v>1464</v>
      </c>
      <c r="B55" s="83"/>
      <c r="H55" s="64"/>
      <c r="L55" s="64"/>
      <c r="M55" s="64"/>
    </row>
    <row r="56" spans="1:13" x14ac:dyDescent="0.35">
      <c r="A56" s="66" t="s">
        <v>1465</v>
      </c>
      <c r="B56" s="83"/>
      <c r="H56" s="64"/>
      <c r="L56" s="64"/>
      <c r="M56" s="64"/>
    </row>
    <row r="57" spans="1:13" x14ac:dyDescent="0.35">
      <c r="A57" s="66" t="s">
        <v>1466</v>
      </c>
      <c r="B57" s="83"/>
      <c r="H57" s="64"/>
      <c r="L57" s="64"/>
      <c r="M57" s="64"/>
    </row>
    <row r="58" spans="1:13" x14ac:dyDescent="0.35">
      <c r="A58" s="66" t="s">
        <v>1467</v>
      </c>
      <c r="B58" s="83"/>
      <c r="H58" s="64"/>
      <c r="L58" s="64"/>
      <c r="M58" s="64"/>
    </row>
    <row r="59" spans="1:13" x14ac:dyDescent="0.35">
      <c r="A59" s="66" t="s">
        <v>1468</v>
      </c>
      <c r="B59" s="83"/>
      <c r="H59" s="64"/>
      <c r="L59" s="64"/>
      <c r="M59" s="64"/>
    </row>
    <row r="60" spans="1:13" outlineLevel="1" x14ac:dyDescent="0.35">
      <c r="A60" s="66" t="s">
        <v>1429</v>
      </c>
      <c r="B60" s="83"/>
      <c r="E60" s="83"/>
      <c r="F60" s="83"/>
      <c r="G60" s="83"/>
      <c r="H60" s="64"/>
      <c r="L60" s="64"/>
      <c r="M60" s="64"/>
    </row>
    <row r="61" spans="1:13" outlineLevel="1" x14ac:dyDescent="0.35">
      <c r="A61" s="66" t="s">
        <v>1430</v>
      </c>
      <c r="B61" s="83"/>
      <c r="E61" s="83"/>
      <c r="F61" s="83"/>
      <c r="G61" s="83"/>
      <c r="H61" s="64"/>
      <c r="L61" s="64"/>
      <c r="M61" s="64"/>
    </row>
    <row r="62" spans="1:13" outlineLevel="1" x14ac:dyDescent="0.35">
      <c r="A62" s="66" t="s">
        <v>1431</v>
      </c>
      <c r="B62" s="83"/>
      <c r="E62" s="83"/>
      <c r="F62" s="83"/>
      <c r="G62" s="83"/>
      <c r="H62" s="64"/>
      <c r="L62" s="64"/>
      <c r="M62" s="64"/>
    </row>
    <row r="63" spans="1:13" outlineLevel="1" x14ac:dyDescent="0.35">
      <c r="A63" s="66" t="s">
        <v>1432</v>
      </c>
      <c r="B63" s="83"/>
      <c r="E63" s="83"/>
      <c r="F63" s="83"/>
      <c r="G63" s="83"/>
      <c r="H63" s="64"/>
      <c r="L63" s="64"/>
      <c r="M63" s="64"/>
    </row>
    <row r="64" spans="1:13" outlineLevel="1" x14ac:dyDescent="0.35">
      <c r="A64" s="66" t="s">
        <v>1433</v>
      </c>
      <c r="B64" s="83"/>
      <c r="E64" s="83"/>
      <c r="F64" s="83"/>
      <c r="G64" s="83"/>
      <c r="H64" s="64"/>
      <c r="L64" s="64"/>
      <c r="M64" s="64"/>
    </row>
    <row r="65" spans="1:14" outlineLevel="1" x14ac:dyDescent="0.35">
      <c r="A65" s="66" t="s">
        <v>1434</v>
      </c>
      <c r="B65" s="83"/>
      <c r="E65" s="83"/>
      <c r="F65" s="83"/>
      <c r="G65" s="83"/>
      <c r="H65" s="64"/>
      <c r="L65" s="64"/>
      <c r="M65" s="64"/>
    </row>
    <row r="66" spans="1:14" outlineLevel="1" x14ac:dyDescent="0.35">
      <c r="A66" s="66" t="s">
        <v>1435</v>
      </c>
      <c r="B66" s="83"/>
      <c r="E66" s="83"/>
      <c r="F66" s="83"/>
      <c r="G66" s="83"/>
      <c r="H66" s="64"/>
      <c r="L66" s="64"/>
      <c r="M66" s="64"/>
    </row>
    <row r="67" spans="1:14" outlineLevel="1" x14ac:dyDescent="0.35">
      <c r="A67" s="66" t="s">
        <v>1436</v>
      </c>
      <c r="B67" s="83"/>
      <c r="E67" s="83"/>
      <c r="F67" s="83"/>
      <c r="G67" s="83"/>
      <c r="H67" s="64"/>
      <c r="L67" s="64"/>
      <c r="M67" s="64"/>
    </row>
    <row r="68" spans="1:14" outlineLevel="1" x14ac:dyDescent="0.35">
      <c r="A68" s="66" t="s">
        <v>1437</v>
      </c>
      <c r="B68" s="83"/>
      <c r="E68" s="83"/>
      <c r="F68" s="83"/>
      <c r="G68" s="83"/>
      <c r="H68" s="64"/>
      <c r="L68" s="64"/>
      <c r="M68" s="64"/>
    </row>
    <row r="69" spans="1:14" outlineLevel="1" x14ac:dyDescent="0.35">
      <c r="A69" s="66" t="s">
        <v>1438</v>
      </c>
      <c r="B69" s="83"/>
      <c r="E69" s="83"/>
      <c r="F69" s="83"/>
      <c r="G69" s="83"/>
      <c r="H69" s="64"/>
      <c r="L69" s="64"/>
      <c r="M69" s="64"/>
    </row>
    <row r="70" spans="1:14" outlineLevel="1" x14ac:dyDescent="0.35">
      <c r="A70" s="66" t="s">
        <v>1439</v>
      </c>
      <c r="B70" s="83"/>
      <c r="E70" s="83"/>
      <c r="F70" s="83"/>
      <c r="G70" s="83"/>
      <c r="H70" s="64"/>
      <c r="L70" s="64"/>
      <c r="M70" s="64"/>
    </row>
    <row r="71" spans="1:14" outlineLevel="1" x14ac:dyDescent="0.35">
      <c r="A71" s="66" t="s">
        <v>1440</v>
      </c>
      <c r="B71" s="83"/>
      <c r="E71" s="83"/>
      <c r="F71" s="83"/>
      <c r="G71" s="83"/>
      <c r="H71" s="64"/>
      <c r="L71" s="64"/>
      <c r="M71" s="64"/>
    </row>
    <row r="72" spans="1:14" outlineLevel="1" x14ac:dyDescent="0.35">
      <c r="A72" s="66" t="s">
        <v>1441</v>
      </c>
      <c r="B72" s="83"/>
      <c r="E72" s="83"/>
      <c r="F72" s="83"/>
      <c r="G72" s="83"/>
      <c r="H72" s="64"/>
      <c r="L72" s="64"/>
      <c r="M72" s="64"/>
    </row>
    <row r="73" spans="1:14" ht="18.5" x14ac:dyDescent="0.35">
      <c r="A73" s="78"/>
      <c r="B73" s="77" t="s">
        <v>1443</v>
      </c>
      <c r="C73" s="78"/>
      <c r="D73" s="78"/>
      <c r="E73" s="78"/>
      <c r="F73" s="78"/>
      <c r="G73" s="78"/>
      <c r="H73" s="64"/>
    </row>
    <row r="74" spans="1:14" ht="15" customHeight="1" x14ac:dyDescent="0.35">
      <c r="A74" s="85"/>
      <c r="B74" s="86" t="s">
        <v>789</v>
      </c>
      <c r="C74" s="85" t="s">
        <v>1508</v>
      </c>
      <c r="D74" s="85"/>
      <c r="E74" s="88"/>
      <c r="F74" s="88"/>
      <c r="G74" s="88"/>
      <c r="H74" s="96"/>
      <c r="I74" s="96"/>
      <c r="J74" s="96"/>
      <c r="K74" s="96"/>
      <c r="L74" s="96"/>
      <c r="M74" s="96"/>
      <c r="N74" s="96"/>
    </row>
    <row r="75" spans="1:14" x14ac:dyDescent="0.35">
      <c r="A75" s="66" t="s">
        <v>1469</v>
      </c>
      <c r="B75" s="66" t="s">
        <v>1490</v>
      </c>
      <c r="C75" s="275">
        <f>AVERAGE_SEASONING</f>
        <v>61.9</v>
      </c>
      <c r="H75" s="64"/>
    </row>
    <row r="76" spans="1:14" x14ac:dyDescent="0.35">
      <c r="A76" s="66" t="s">
        <v>1470</v>
      </c>
      <c r="B76" s="66" t="s">
        <v>1506</v>
      </c>
      <c r="C76" s="66">
        <f>AVERAGE_REMAINING_TERM</f>
        <v>153.28390280511201</v>
      </c>
      <c r="H76" s="64"/>
    </row>
    <row r="77" spans="1:14" outlineLevel="1" x14ac:dyDescent="0.35">
      <c r="A77" s="66" t="s">
        <v>1471</v>
      </c>
      <c r="H77" s="64"/>
    </row>
    <row r="78" spans="1:14" outlineLevel="1" x14ac:dyDescent="0.35">
      <c r="A78" s="66" t="s">
        <v>1472</v>
      </c>
      <c r="H78" s="64"/>
    </row>
    <row r="79" spans="1:14" outlineLevel="1" x14ac:dyDescent="0.35">
      <c r="A79" s="66" t="s">
        <v>1473</v>
      </c>
      <c r="H79" s="64"/>
    </row>
    <row r="80" spans="1:14" outlineLevel="1" x14ac:dyDescent="0.35">
      <c r="A80" s="66" t="s">
        <v>1474</v>
      </c>
      <c r="H80" s="64"/>
    </row>
    <row r="81" spans="1:8" x14ac:dyDescent="0.35">
      <c r="A81" s="85"/>
      <c r="B81" s="86" t="s">
        <v>1475</v>
      </c>
      <c r="C81" s="85" t="s">
        <v>486</v>
      </c>
      <c r="D81" s="85" t="s">
        <v>487</v>
      </c>
      <c r="E81" s="88" t="s">
        <v>801</v>
      </c>
      <c r="F81" s="88" t="s">
        <v>986</v>
      </c>
      <c r="G81" s="88" t="s">
        <v>1498</v>
      </c>
      <c r="H81" s="64"/>
    </row>
    <row r="82" spans="1:8" x14ac:dyDescent="0.35">
      <c r="A82" s="66" t="s">
        <v>1476</v>
      </c>
      <c r="B82" s="275" t="s">
        <v>1565</v>
      </c>
      <c r="C82" s="275" t="s">
        <v>3393</v>
      </c>
      <c r="D82" s="275"/>
      <c r="E82" s="275"/>
      <c r="F82" s="275"/>
      <c r="G82" s="275"/>
      <c r="H82" s="64"/>
    </row>
    <row r="83" spans="1:8" x14ac:dyDescent="0.35">
      <c r="A83" s="66" t="s">
        <v>1477</v>
      </c>
      <c r="B83" s="275" t="s">
        <v>1495</v>
      </c>
      <c r="C83" s="66" t="s">
        <v>3394</v>
      </c>
      <c r="H83" s="64"/>
    </row>
    <row r="84" spans="1:8" x14ac:dyDescent="0.35">
      <c r="A84" s="66" t="s">
        <v>1478</v>
      </c>
      <c r="B84" s="275" t="s">
        <v>1493</v>
      </c>
      <c r="C84" s="66" t="s">
        <v>3394</v>
      </c>
      <c r="H84" s="64"/>
    </row>
    <row r="85" spans="1:8" x14ac:dyDescent="0.35">
      <c r="A85" s="66" t="s">
        <v>1479</v>
      </c>
      <c r="B85" s="275" t="s">
        <v>1494</v>
      </c>
      <c r="C85" s="66" t="s">
        <v>3394</v>
      </c>
      <c r="H85" s="64"/>
    </row>
    <row r="86" spans="1:8" x14ac:dyDescent="0.35">
      <c r="A86" s="66" t="s">
        <v>1497</v>
      </c>
      <c r="B86" s="275" t="s">
        <v>1496</v>
      </c>
      <c r="C86" s="66" t="s">
        <v>3394</v>
      </c>
      <c r="H86" s="64"/>
    </row>
    <row r="87" spans="1:8" outlineLevel="1" x14ac:dyDescent="0.35">
      <c r="A87" s="66" t="s">
        <v>1480</v>
      </c>
      <c r="H87" s="64"/>
    </row>
    <row r="88" spans="1:8" outlineLevel="1" x14ac:dyDescent="0.35">
      <c r="A88" s="66" t="s">
        <v>1481</v>
      </c>
      <c r="H88" s="64"/>
    </row>
    <row r="89" spans="1:8" outlineLevel="1" x14ac:dyDescent="0.35">
      <c r="A89" s="66" t="s">
        <v>1482</v>
      </c>
      <c r="H89" s="64"/>
    </row>
    <row r="90" spans="1:8" outlineLevel="1" x14ac:dyDescent="0.35">
      <c r="A90" s="66" t="s">
        <v>1483</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legacy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G641"/>
  <sheetViews>
    <sheetView zoomScale="80" zoomScaleNormal="80" workbookViewId="0">
      <selection activeCell="C7" sqref="C7"/>
    </sheetView>
  </sheetViews>
  <sheetFormatPr defaultColWidth="9.1796875" defaultRowHeight="14.5" x14ac:dyDescent="0.35"/>
  <cols>
    <col min="1" max="1" width="14.81640625" customWidth="1"/>
    <col min="2" max="2" width="60.54296875" bestFit="1" customWidth="1"/>
    <col min="3" max="7" width="41" customWidth="1"/>
  </cols>
  <sheetData>
    <row r="1" spans="1:7" ht="24" customHeight="1" x14ac:dyDescent="0.35">
      <c r="A1" s="875"/>
      <c r="B1" s="875"/>
    </row>
    <row r="2" spans="1:7" ht="31" x14ac:dyDescent="0.35">
      <c r="A2" s="184" t="s">
        <v>2780</v>
      </c>
      <c r="B2" s="184"/>
      <c r="C2" s="64"/>
      <c r="D2" s="64"/>
      <c r="E2" s="64"/>
      <c r="F2" s="369" t="s">
        <v>2773</v>
      </c>
      <c r="G2" s="99"/>
    </row>
    <row r="3" spans="1:7" ht="15" thickBot="1" x14ac:dyDescent="0.4">
      <c r="A3" s="64"/>
      <c r="B3" s="65"/>
      <c r="C3" s="65"/>
      <c r="D3" s="64"/>
      <c r="E3" s="64"/>
      <c r="F3" s="64"/>
      <c r="G3" s="64"/>
    </row>
    <row r="4" spans="1:7" ht="19" thickBot="1" x14ac:dyDescent="0.4">
      <c r="A4" s="220"/>
      <c r="B4" s="221" t="s">
        <v>71</v>
      </c>
      <c r="C4" s="358" t="s">
        <v>72</v>
      </c>
      <c r="D4" s="220"/>
      <c r="E4" s="220"/>
      <c r="F4" s="218"/>
      <c r="G4" s="218"/>
    </row>
    <row r="5" spans="1:7" x14ac:dyDescent="0.35">
      <c r="A5" s="219"/>
      <c r="B5" s="219"/>
      <c r="C5" s="219"/>
      <c r="D5" s="219"/>
      <c r="E5" s="219"/>
      <c r="F5" s="219"/>
      <c r="G5" s="219"/>
    </row>
    <row r="6" spans="1:7" ht="18.5" x14ac:dyDescent="0.35">
      <c r="A6" s="222"/>
      <c r="B6" s="877" t="s">
        <v>2218</v>
      </c>
      <c r="C6" s="878"/>
      <c r="D6" s="275"/>
      <c r="E6" s="223"/>
      <c r="F6" s="223"/>
      <c r="G6" s="223"/>
    </row>
    <row r="7" spans="1:7" x14ac:dyDescent="0.35">
      <c r="A7" s="325"/>
      <c r="B7" s="879" t="s">
        <v>1646</v>
      </c>
      <c r="C7" s="879"/>
      <c r="D7" s="322"/>
      <c r="E7" s="219"/>
      <c r="F7" s="219"/>
      <c r="G7" s="219"/>
    </row>
    <row r="8" spans="1:7" x14ac:dyDescent="0.35">
      <c r="A8" s="219"/>
      <c r="B8" s="880" t="s">
        <v>1647</v>
      </c>
      <c r="C8" s="881"/>
      <c r="D8" s="322"/>
      <c r="E8" s="219"/>
      <c r="F8" s="219"/>
      <c r="G8" s="219"/>
    </row>
    <row r="9" spans="1:7" x14ac:dyDescent="0.35">
      <c r="A9" s="219"/>
      <c r="B9" s="882" t="s">
        <v>1648</v>
      </c>
      <c r="C9" s="883"/>
      <c r="D9" s="322"/>
      <c r="E9" s="219"/>
      <c r="F9" s="219"/>
      <c r="G9" s="219"/>
    </row>
    <row r="10" spans="1:7" ht="15" thickBot="1" x14ac:dyDescent="0.4">
      <c r="A10" s="219"/>
      <c r="B10" s="884" t="s">
        <v>1649</v>
      </c>
      <c r="C10" s="885"/>
      <c r="D10" s="275"/>
      <c r="E10" s="219"/>
      <c r="F10" s="219"/>
      <c r="G10" s="219"/>
    </row>
    <row r="11" spans="1:7" x14ac:dyDescent="0.35">
      <c r="A11" s="219"/>
      <c r="B11" s="324"/>
      <c r="C11" s="323"/>
      <c r="D11" s="219"/>
      <c r="E11" s="219"/>
      <c r="F11" s="219"/>
      <c r="G11" s="219"/>
    </row>
    <row r="12" spans="1:7" x14ac:dyDescent="0.35">
      <c r="A12" s="219"/>
      <c r="B12" s="224"/>
      <c r="C12" s="219"/>
      <c r="D12" s="219"/>
      <c r="E12" s="219"/>
      <c r="F12" s="219"/>
      <c r="G12" s="219"/>
    </row>
    <row r="13" spans="1:7" x14ac:dyDescent="0.35">
      <c r="A13" s="219"/>
      <c r="B13" s="224"/>
      <c r="C13" s="219"/>
      <c r="D13" s="219"/>
      <c r="E13" s="219"/>
      <c r="F13" s="219"/>
      <c r="G13" s="219"/>
    </row>
    <row r="14" spans="1:7" ht="18.75" customHeight="1" x14ac:dyDescent="0.35">
      <c r="A14" s="77"/>
      <c r="B14" s="876" t="s">
        <v>1646</v>
      </c>
      <c r="C14" s="876"/>
      <c r="D14" s="77"/>
      <c r="E14" s="77"/>
      <c r="F14" s="77"/>
      <c r="G14" s="77"/>
    </row>
    <row r="15" spans="1:7" x14ac:dyDescent="0.35">
      <c r="A15" s="85"/>
      <c r="B15" s="85" t="s">
        <v>1650</v>
      </c>
      <c r="C15" s="85" t="s">
        <v>112</v>
      </c>
      <c r="D15" s="85" t="s">
        <v>1651</v>
      </c>
      <c r="E15" s="85"/>
      <c r="F15" s="85" t="s">
        <v>1652</v>
      </c>
      <c r="G15" s="85" t="s">
        <v>1653</v>
      </c>
    </row>
    <row r="16" spans="1:7" x14ac:dyDescent="0.35">
      <c r="A16" s="219" t="s">
        <v>1654</v>
      </c>
      <c r="B16" s="217" t="s">
        <v>1655</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35">
      <c r="A17" s="219" t="s">
        <v>1657</v>
      </c>
      <c r="B17" s="235" t="s">
        <v>2198</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35">
      <c r="A18" s="219" t="s">
        <v>1658</v>
      </c>
      <c r="B18" s="235" t="s">
        <v>1660</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35">
      <c r="A19" s="275" t="s">
        <v>1659</v>
      </c>
      <c r="B19" s="235" t="s">
        <v>1978</v>
      </c>
      <c r="C19" s="250">
        <f>SUM(C16:C18)</f>
        <v>0</v>
      </c>
      <c r="D19" s="248">
        <f>SUM(D16:D18)</f>
        <v>0</v>
      </c>
      <c r="E19" s="216"/>
      <c r="F19" s="244">
        <f>SUM(F16:F18)</f>
        <v>0</v>
      </c>
      <c r="G19" s="244">
        <f>SUM(G16:G18)</f>
        <v>0</v>
      </c>
    </row>
    <row r="20" spans="1:7" x14ac:dyDescent="0.35">
      <c r="A20" s="235" t="s">
        <v>2199</v>
      </c>
      <c r="B20" s="336" t="s">
        <v>147</v>
      </c>
      <c r="C20" s="333"/>
      <c r="D20" s="333"/>
      <c r="E20" s="216"/>
      <c r="F20" s="235"/>
      <c r="G20" s="235"/>
    </row>
    <row r="21" spans="1:7" x14ac:dyDescent="0.35">
      <c r="A21" s="235" t="s">
        <v>2200</v>
      </c>
      <c r="B21" s="336" t="s">
        <v>147</v>
      </c>
      <c r="C21" s="333"/>
      <c r="D21" s="333"/>
      <c r="E21" s="216"/>
      <c r="F21" s="235"/>
      <c r="G21" s="235"/>
    </row>
    <row r="22" spans="1:7" x14ac:dyDescent="0.35">
      <c r="A22" s="235" t="s">
        <v>2201</v>
      </c>
      <c r="B22" s="336" t="s">
        <v>147</v>
      </c>
      <c r="C22" s="333"/>
      <c r="D22" s="333"/>
      <c r="E22" s="216"/>
      <c r="F22" s="235"/>
      <c r="G22" s="235"/>
    </row>
    <row r="23" spans="1:7" x14ac:dyDescent="0.35">
      <c r="A23" s="235" t="s">
        <v>2202</v>
      </c>
      <c r="B23" s="336" t="s">
        <v>147</v>
      </c>
      <c r="C23" s="333"/>
      <c r="D23" s="333"/>
      <c r="E23" s="216"/>
      <c r="F23" s="235"/>
      <c r="G23" s="235"/>
    </row>
    <row r="24" spans="1:7" x14ac:dyDescent="0.35">
      <c r="A24" s="235" t="s">
        <v>2203</v>
      </c>
      <c r="B24" s="336" t="s">
        <v>147</v>
      </c>
      <c r="C24" s="333"/>
      <c r="D24" s="333"/>
      <c r="E24" s="216"/>
      <c r="F24" s="235"/>
      <c r="G24" s="235"/>
    </row>
    <row r="25" spans="1:7" ht="18.5" x14ac:dyDescent="0.35">
      <c r="A25" s="77"/>
      <c r="B25" s="876" t="s">
        <v>1647</v>
      </c>
      <c r="C25" s="876"/>
      <c r="D25" s="77"/>
      <c r="E25" s="77"/>
      <c r="F25" s="77"/>
      <c r="G25" s="77"/>
    </row>
    <row r="26" spans="1:7" x14ac:dyDescent="0.35">
      <c r="A26" s="85"/>
      <c r="B26" s="85" t="s">
        <v>1661</v>
      </c>
      <c r="C26" s="85" t="s">
        <v>112</v>
      </c>
      <c r="D26" s="85"/>
      <c r="E26" s="85"/>
      <c r="F26" s="85" t="s">
        <v>1662</v>
      </c>
      <c r="G26" s="85"/>
    </row>
    <row r="27" spans="1:7" x14ac:dyDescent="0.35">
      <c r="A27" s="228" t="s">
        <v>1663</v>
      </c>
      <c r="B27" s="228" t="s">
        <v>456</v>
      </c>
      <c r="C27" s="334" t="s">
        <v>82</v>
      </c>
      <c r="D27" s="245"/>
      <c r="E27" s="228"/>
      <c r="F27" s="244" t="str">
        <f>IF($C$30=0,"",IF(C27="[For completion]","",C27/$C$30))</f>
        <v/>
      </c>
      <c r="G27" s="216"/>
    </row>
    <row r="28" spans="1:7" x14ac:dyDescent="0.35">
      <c r="A28" s="228" t="s">
        <v>1664</v>
      </c>
      <c r="B28" s="228" t="s">
        <v>458</v>
      </c>
      <c r="C28" s="334" t="s">
        <v>82</v>
      </c>
      <c r="D28" s="245"/>
      <c r="E28" s="228"/>
      <c r="F28" s="244" t="str">
        <f>IF($C$30=0,"",IF(C28="[For completion]","",C28/$C$30))</f>
        <v/>
      </c>
      <c r="G28" s="216"/>
    </row>
    <row r="29" spans="1:7" x14ac:dyDescent="0.35">
      <c r="A29" s="228" t="s">
        <v>1665</v>
      </c>
      <c r="B29" s="228" t="s">
        <v>143</v>
      </c>
      <c r="C29" s="334" t="s">
        <v>82</v>
      </c>
      <c r="D29" s="245"/>
      <c r="E29" s="228"/>
      <c r="F29" s="244" t="str">
        <f>IF($C$30=0,"",IF(C29="[For completion]","",C29/$C$30))</f>
        <v/>
      </c>
      <c r="G29" s="216"/>
    </row>
    <row r="30" spans="1:7" x14ac:dyDescent="0.35">
      <c r="A30" s="228" t="s">
        <v>1666</v>
      </c>
      <c r="B30" s="230" t="s">
        <v>145</v>
      </c>
      <c r="C30" s="245">
        <f>SUM(C27:C29)</f>
        <v>0</v>
      </c>
      <c r="D30" s="228"/>
      <c r="E30" s="228"/>
      <c r="F30" s="242">
        <f>SUM(F27:F29)</f>
        <v>0</v>
      </c>
      <c r="G30" s="216"/>
    </row>
    <row r="31" spans="1:7" x14ac:dyDescent="0.35">
      <c r="A31" s="228" t="s">
        <v>1667</v>
      </c>
      <c r="B31" s="232" t="s">
        <v>1391</v>
      </c>
      <c r="C31" s="334"/>
      <c r="D31" s="228"/>
      <c r="E31" s="228"/>
      <c r="F31" s="244" t="str">
        <f>IF($C$30=0,"",IF(C31="[For completion]","",C31/$C$30))</f>
        <v/>
      </c>
      <c r="G31" s="216"/>
    </row>
    <row r="32" spans="1:7" x14ac:dyDescent="0.35">
      <c r="A32" s="228" t="s">
        <v>1668</v>
      </c>
      <c r="B32" s="232" t="s">
        <v>2204</v>
      </c>
      <c r="C32" s="334"/>
      <c r="D32" s="228"/>
      <c r="E32" s="228"/>
      <c r="F32" s="244" t="str">
        <f t="shared" ref="F32:F39" si="0">IF($C$30=0,"",IF(C32="[For completion]","",C32/$C$30))</f>
        <v/>
      </c>
      <c r="G32" s="72"/>
    </row>
    <row r="33" spans="1:7" x14ac:dyDescent="0.35">
      <c r="A33" s="228" t="s">
        <v>1669</v>
      </c>
      <c r="B33" s="232" t="s">
        <v>2205</v>
      </c>
      <c r="C33" s="334"/>
      <c r="D33" s="228"/>
      <c r="E33" s="228"/>
      <c r="F33" s="244" t="str">
        <f>IF($C$30=0,"",IF(C33="[For completion]","",C33/$C$30))</f>
        <v/>
      </c>
      <c r="G33" s="72"/>
    </row>
    <row r="34" spans="1:7" x14ac:dyDescent="0.35">
      <c r="A34" s="228" t="s">
        <v>1670</v>
      </c>
      <c r="B34" s="232" t="s">
        <v>2206</v>
      </c>
      <c r="C34" s="334"/>
      <c r="D34" s="228"/>
      <c r="E34" s="228"/>
      <c r="F34" s="244" t="str">
        <f t="shared" si="0"/>
        <v/>
      </c>
      <c r="G34" s="72"/>
    </row>
    <row r="35" spans="1:7" x14ac:dyDescent="0.35">
      <c r="A35" s="228" t="s">
        <v>1671</v>
      </c>
      <c r="B35" s="232" t="s">
        <v>1979</v>
      </c>
      <c r="C35" s="334"/>
      <c r="D35" s="228"/>
      <c r="E35" s="228"/>
      <c r="F35" s="244" t="str">
        <f t="shared" si="0"/>
        <v/>
      </c>
      <c r="G35" s="72"/>
    </row>
    <row r="36" spans="1:7" x14ac:dyDescent="0.35">
      <c r="A36" s="228" t="s">
        <v>1672</v>
      </c>
      <c r="B36" s="232" t="s">
        <v>2207</v>
      </c>
      <c r="C36" s="334"/>
      <c r="D36" s="228"/>
      <c r="E36" s="228"/>
      <c r="F36" s="244" t="str">
        <f t="shared" si="0"/>
        <v/>
      </c>
      <c r="G36" s="223"/>
    </row>
    <row r="37" spans="1:7" x14ac:dyDescent="0.35">
      <c r="A37" s="228" t="s">
        <v>1673</v>
      </c>
      <c r="B37" s="232" t="s">
        <v>2208</v>
      </c>
      <c r="C37" s="334"/>
      <c r="D37" s="228"/>
      <c r="E37" s="228"/>
      <c r="F37" s="244" t="str">
        <f t="shared" si="0"/>
        <v/>
      </c>
      <c r="G37" s="72"/>
    </row>
    <row r="38" spans="1:7" x14ac:dyDescent="0.35">
      <c r="A38" s="228" t="s">
        <v>1674</v>
      </c>
      <c r="B38" s="232" t="s">
        <v>2209</v>
      </c>
      <c r="C38" s="334"/>
      <c r="D38" s="228"/>
      <c r="E38" s="228"/>
      <c r="F38" s="244" t="str">
        <f t="shared" si="0"/>
        <v/>
      </c>
      <c r="G38" s="72"/>
    </row>
    <row r="39" spans="1:7" x14ac:dyDescent="0.35">
      <c r="A39" s="228" t="s">
        <v>1675</v>
      </c>
      <c r="B39" s="232" t="s">
        <v>1980</v>
      </c>
      <c r="C39" s="334"/>
      <c r="D39" s="228"/>
      <c r="E39" s="216"/>
      <c r="F39" s="244" t="str">
        <f t="shared" si="0"/>
        <v/>
      </c>
      <c r="G39" s="72"/>
    </row>
    <row r="40" spans="1:7" x14ac:dyDescent="0.35">
      <c r="A40" s="228" t="s">
        <v>1676</v>
      </c>
      <c r="B40" s="336" t="s">
        <v>2717</v>
      </c>
      <c r="C40" s="334"/>
      <c r="D40" s="228"/>
      <c r="E40" s="216"/>
      <c r="F40" s="235"/>
      <c r="G40" s="235"/>
    </row>
    <row r="41" spans="1:7" x14ac:dyDescent="0.35">
      <c r="A41" s="228" t="s">
        <v>1677</v>
      </c>
      <c r="B41" s="336" t="s">
        <v>147</v>
      </c>
      <c r="C41" s="335"/>
      <c r="D41" s="227"/>
      <c r="E41" s="216"/>
      <c r="F41" s="235"/>
      <c r="G41" s="235"/>
    </row>
    <row r="42" spans="1:7" x14ac:dyDescent="0.35">
      <c r="A42" s="228" t="s">
        <v>1678</v>
      </c>
      <c r="B42" s="336" t="s">
        <v>147</v>
      </c>
      <c r="C42" s="335"/>
      <c r="D42" s="227"/>
      <c r="E42" s="227"/>
      <c r="F42" s="235"/>
      <c r="G42" s="235"/>
    </row>
    <row r="43" spans="1:7" x14ac:dyDescent="0.35">
      <c r="A43" s="228" t="s">
        <v>1679</v>
      </c>
      <c r="B43" s="336" t="s">
        <v>147</v>
      </c>
      <c r="C43" s="335"/>
      <c r="D43" s="227"/>
      <c r="E43" s="227"/>
      <c r="F43" s="235"/>
      <c r="G43" s="235"/>
    </row>
    <row r="44" spans="1:7" x14ac:dyDescent="0.35">
      <c r="A44" s="228" t="s">
        <v>1680</v>
      </c>
      <c r="B44" s="336" t="s">
        <v>147</v>
      </c>
      <c r="C44" s="335"/>
      <c r="D44" s="227"/>
      <c r="E44" s="227"/>
      <c r="F44" s="235"/>
      <c r="G44" s="235"/>
    </row>
    <row r="45" spans="1:7" x14ac:dyDescent="0.35">
      <c r="A45" s="228" t="s">
        <v>1681</v>
      </c>
      <c r="B45" s="336" t="s">
        <v>147</v>
      </c>
      <c r="C45" s="335"/>
      <c r="D45" s="227"/>
      <c r="E45" s="227"/>
      <c r="F45" s="235"/>
      <c r="G45" s="235"/>
    </row>
    <row r="46" spans="1:7" x14ac:dyDescent="0.35">
      <c r="A46" s="228" t="s">
        <v>1682</v>
      </c>
      <c r="B46" s="336" t="s">
        <v>147</v>
      </c>
      <c r="C46" s="335"/>
      <c r="D46" s="227"/>
      <c r="E46" s="227"/>
      <c r="F46" s="235"/>
      <c r="G46" s="235"/>
    </row>
    <row r="47" spans="1:7" x14ac:dyDescent="0.35">
      <c r="A47" s="228" t="s">
        <v>1683</v>
      </c>
      <c r="B47" s="336" t="s">
        <v>147</v>
      </c>
      <c r="C47" s="335"/>
      <c r="D47" s="227"/>
      <c r="E47" s="227"/>
      <c r="F47" s="235"/>
    </row>
    <row r="48" spans="1:7" x14ac:dyDescent="0.35">
      <c r="A48" s="228" t="s">
        <v>1684</v>
      </c>
      <c r="B48" s="336" t="s">
        <v>147</v>
      </c>
      <c r="C48" s="335"/>
      <c r="D48" s="227"/>
      <c r="E48" s="227"/>
      <c r="F48" s="235"/>
      <c r="G48" s="216"/>
    </row>
    <row r="49" spans="1:7" x14ac:dyDescent="0.35">
      <c r="A49" s="85"/>
      <c r="B49" s="85" t="s">
        <v>473</v>
      </c>
      <c r="C49" s="85" t="s">
        <v>474</v>
      </c>
      <c r="D49" s="85" t="s">
        <v>475</v>
      </c>
      <c r="E49" s="85"/>
      <c r="F49" s="85" t="s">
        <v>2462</v>
      </c>
      <c r="G49" s="85"/>
    </row>
    <row r="50" spans="1:7" x14ac:dyDescent="0.35">
      <c r="A50" s="228" t="s">
        <v>1685</v>
      </c>
      <c r="B50" s="228" t="s">
        <v>1981</v>
      </c>
      <c r="C50" s="338" t="s">
        <v>82</v>
      </c>
      <c r="D50" s="338" t="s">
        <v>82</v>
      </c>
      <c r="E50" s="228"/>
      <c r="F50" s="341" t="s">
        <v>82</v>
      </c>
      <c r="G50" s="235"/>
    </row>
    <row r="51" spans="1:7" x14ac:dyDescent="0.35">
      <c r="A51" s="228" t="s">
        <v>1686</v>
      </c>
      <c r="B51" s="337" t="s">
        <v>480</v>
      </c>
      <c r="C51" s="339"/>
      <c r="D51" s="339"/>
      <c r="E51" s="228"/>
      <c r="F51" s="228"/>
      <c r="G51" s="235"/>
    </row>
    <row r="52" spans="1:7" x14ac:dyDescent="0.35">
      <c r="A52" s="228" t="s">
        <v>1687</v>
      </c>
      <c r="B52" s="337" t="s">
        <v>482</v>
      </c>
      <c r="C52" s="339"/>
      <c r="D52" s="339"/>
      <c r="E52" s="228"/>
      <c r="F52" s="228"/>
      <c r="G52" s="235"/>
    </row>
    <row r="53" spans="1:7" x14ac:dyDescent="0.35">
      <c r="A53" s="228" t="s">
        <v>1688</v>
      </c>
      <c r="B53" s="233"/>
      <c r="C53" s="228"/>
      <c r="D53" s="228"/>
      <c r="E53" s="228"/>
      <c r="F53" s="228"/>
      <c r="G53" s="235"/>
    </row>
    <row r="54" spans="1:7" x14ac:dyDescent="0.35">
      <c r="A54" s="228" t="s">
        <v>1689</v>
      </c>
      <c r="B54" s="233"/>
      <c r="C54" s="228"/>
      <c r="D54" s="228"/>
      <c r="E54" s="228"/>
      <c r="F54" s="228"/>
      <c r="G54" s="235"/>
    </row>
    <row r="55" spans="1:7" x14ac:dyDescent="0.35">
      <c r="A55" s="228" t="s">
        <v>1690</v>
      </c>
      <c r="B55" s="233"/>
      <c r="C55" s="228"/>
      <c r="D55" s="228"/>
      <c r="E55" s="228"/>
      <c r="F55" s="228"/>
      <c r="G55" s="235"/>
    </row>
    <row r="56" spans="1:7" x14ac:dyDescent="0.35">
      <c r="A56" s="228" t="s">
        <v>1691</v>
      </c>
      <c r="B56" s="233"/>
      <c r="C56" s="228"/>
      <c r="D56" s="228"/>
      <c r="E56" s="228"/>
      <c r="F56" s="228"/>
      <c r="G56" s="235"/>
    </row>
    <row r="57" spans="1:7" x14ac:dyDescent="0.35">
      <c r="A57" s="85"/>
      <c r="B57" s="85" t="s">
        <v>485</v>
      </c>
      <c r="C57" s="85" t="s">
        <v>486</v>
      </c>
      <c r="D57" s="85" t="s">
        <v>487</v>
      </c>
      <c r="E57" s="85"/>
      <c r="F57" s="85" t="s">
        <v>2296</v>
      </c>
      <c r="G57" s="85"/>
    </row>
    <row r="58" spans="1:7" x14ac:dyDescent="0.35">
      <c r="A58" s="228" t="s">
        <v>1692</v>
      </c>
      <c r="B58" s="228" t="s">
        <v>489</v>
      </c>
      <c r="C58" s="340" t="s">
        <v>82</v>
      </c>
      <c r="D58" s="340" t="s">
        <v>82</v>
      </c>
      <c r="E58" s="246"/>
      <c r="F58" s="340" t="s">
        <v>82</v>
      </c>
      <c r="G58" s="235"/>
    </row>
    <row r="59" spans="1:7" x14ac:dyDescent="0.35">
      <c r="A59" s="228" t="s">
        <v>1693</v>
      </c>
      <c r="B59" s="228"/>
      <c r="C59" s="242"/>
      <c r="D59" s="242"/>
      <c r="E59" s="246"/>
      <c r="F59" s="242"/>
      <c r="G59" s="235"/>
    </row>
    <row r="60" spans="1:7" x14ac:dyDescent="0.35">
      <c r="A60" s="228" t="s">
        <v>1694</v>
      </c>
      <c r="B60" s="228"/>
      <c r="C60" s="242"/>
      <c r="D60" s="242"/>
      <c r="E60" s="246"/>
      <c r="F60" s="242"/>
      <c r="G60" s="235"/>
    </row>
    <row r="61" spans="1:7" x14ac:dyDescent="0.35">
      <c r="A61" s="228" t="s">
        <v>1695</v>
      </c>
      <c r="B61" s="228"/>
      <c r="C61" s="242"/>
      <c r="D61" s="242"/>
      <c r="E61" s="246"/>
      <c r="F61" s="242"/>
      <c r="G61" s="235"/>
    </row>
    <row r="62" spans="1:7" x14ac:dyDescent="0.35">
      <c r="A62" s="228" t="s">
        <v>1696</v>
      </c>
      <c r="B62" s="228"/>
      <c r="C62" s="242"/>
      <c r="D62" s="242"/>
      <c r="E62" s="246"/>
      <c r="F62" s="242"/>
      <c r="G62" s="235"/>
    </row>
    <row r="63" spans="1:7" x14ac:dyDescent="0.35">
      <c r="A63" s="228" t="s">
        <v>1697</v>
      </c>
      <c r="B63" s="228"/>
      <c r="C63" s="242"/>
      <c r="D63" s="242"/>
      <c r="E63" s="246"/>
      <c r="F63" s="242"/>
      <c r="G63" s="235"/>
    </row>
    <row r="64" spans="1:7" x14ac:dyDescent="0.35">
      <c r="A64" s="228" t="s">
        <v>1698</v>
      </c>
      <c r="B64" s="228"/>
      <c r="C64" s="242"/>
      <c r="D64" s="242"/>
      <c r="E64" s="246"/>
      <c r="F64" s="242"/>
      <c r="G64" s="235"/>
    </row>
    <row r="65" spans="1:7" x14ac:dyDescent="0.35">
      <c r="A65" s="85"/>
      <c r="B65" s="85" t="s">
        <v>496</v>
      </c>
      <c r="C65" s="85" t="s">
        <v>486</v>
      </c>
      <c r="D65" s="85" t="s">
        <v>487</v>
      </c>
      <c r="E65" s="85"/>
      <c r="F65" s="85" t="s">
        <v>2296</v>
      </c>
      <c r="G65" s="85"/>
    </row>
    <row r="66" spans="1:7" x14ac:dyDescent="0.35">
      <c r="A66" s="228" t="s">
        <v>1699</v>
      </c>
      <c r="B66" s="234" t="s">
        <v>498</v>
      </c>
      <c r="C66" s="241">
        <f>SUM(C67:C93)</f>
        <v>0</v>
      </c>
      <c r="D66" s="241">
        <f>SUM(D67:D93)</f>
        <v>0</v>
      </c>
      <c r="E66" s="242"/>
      <c r="F66" s="241">
        <f>SUM(F67:F93)</f>
        <v>0</v>
      </c>
      <c r="G66" s="235"/>
    </row>
    <row r="67" spans="1:7" x14ac:dyDescent="0.35">
      <c r="A67" s="228" t="s">
        <v>1700</v>
      </c>
      <c r="B67" s="228" t="s">
        <v>500</v>
      </c>
      <c r="C67" s="340" t="s">
        <v>82</v>
      </c>
      <c r="D67" s="340" t="s">
        <v>82</v>
      </c>
      <c r="E67" s="242"/>
      <c r="F67" s="340" t="s">
        <v>82</v>
      </c>
      <c r="G67" s="235"/>
    </row>
    <row r="68" spans="1:7" x14ac:dyDescent="0.35">
      <c r="A68" s="228" t="s">
        <v>1701</v>
      </c>
      <c r="B68" s="228" t="s">
        <v>502</v>
      </c>
      <c r="C68" s="340" t="s">
        <v>82</v>
      </c>
      <c r="D68" s="340" t="s">
        <v>82</v>
      </c>
      <c r="E68" s="242"/>
      <c r="F68" s="340" t="s">
        <v>82</v>
      </c>
      <c r="G68" s="235"/>
    </row>
    <row r="69" spans="1:7" x14ac:dyDescent="0.35">
      <c r="A69" s="228" t="s">
        <v>1702</v>
      </c>
      <c r="B69" s="228" t="s">
        <v>504</v>
      </c>
      <c r="C69" s="340" t="s">
        <v>82</v>
      </c>
      <c r="D69" s="340" t="s">
        <v>82</v>
      </c>
      <c r="E69" s="242"/>
      <c r="F69" s="340" t="s">
        <v>82</v>
      </c>
      <c r="G69" s="235"/>
    </row>
    <row r="70" spans="1:7" x14ac:dyDescent="0.35">
      <c r="A70" s="228" t="s">
        <v>1703</v>
      </c>
      <c r="B70" s="228" t="s">
        <v>506</v>
      </c>
      <c r="C70" s="340" t="s">
        <v>82</v>
      </c>
      <c r="D70" s="340" t="s">
        <v>82</v>
      </c>
      <c r="E70" s="242"/>
      <c r="F70" s="340" t="s">
        <v>82</v>
      </c>
      <c r="G70" s="235"/>
    </row>
    <row r="71" spans="1:7" x14ac:dyDescent="0.35">
      <c r="A71" s="228" t="s">
        <v>1704</v>
      </c>
      <c r="B71" s="228" t="s">
        <v>508</v>
      </c>
      <c r="C71" s="340" t="s">
        <v>82</v>
      </c>
      <c r="D71" s="340" t="s">
        <v>82</v>
      </c>
      <c r="E71" s="242"/>
      <c r="F71" s="340" t="s">
        <v>82</v>
      </c>
      <c r="G71" s="235"/>
    </row>
    <row r="72" spans="1:7" x14ac:dyDescent="0.35">
      <c r="A72" s="228" t="s">
        <v>1705</v>
      </c>
      <c r="B72" s="228" t="s">
        <v>2297</v>
      </c>
      <c r="C72" s="340" t="s">
        <v>82</v>
      </c>
      <c r="D72" s="340" t="s">
        <v>82</v>
      </c>
      <c r="E72" s="242"/>
      <c r="F72" s="340" t="s">
        <v>82</v>
      </c>
      <c r="G72" s="235"/>
    </row>
    <row r="73" spans="1:7" x14ac:dyDescent="0.35">
      <c r="A73" s="228" t="s">
        <v>1706</v>
      </c>
      <c r="B73" s="228" t="s">
        <v>511</v>
      </c>
      <c r="C73" s="340" t="s">
        <v>82</v>
      </c>
      <c r="D73" s="340" t="s">
        <v>82</v>
      </c>
      <c r="E73" s="242"/>
      <c r="F73" s="340" t="s">
        <v>82</v>
      </c>
      <c r="G73" s="235"/>
    </row>
    <row r="74" spans="1:7" x14ac:dyDescent="0.35">
      <c r="A74" s="228" t="s">
        <v>1707</v>
      </c>
      <c r="B74" s="228" t="s">
        <v>513</v>
      </c>
      <c r="C74" s="340" t="s">
        <v>82</v>
      </c>
      <c r="D74" s="340" t="s">
        <v>82</v>
      </c>
      <c r="E74" s="242"/>
      <c r="F74" s="340" t="s">
        <v>82</v>
      </c>
      <c r="G74" s="235"/>
    </row>
    <row r="75" spans="1:7" x14ac:dyDescent="0.35">
      <c r="A75" s="228" t="s">
        <v>1708</v>
      </c>
      <c r="B75" s="228" t="s">
        <v>515</v>
      </c>
      <c r="C75" s="340" t="s">
        <v>82</v>
      </c>
      <c r="D75" s="340" t="s">
        <v>82</v>
      </c>
      <c r="E75" s="242"/>
      <c r="F75" s="340" t="s">
        <v>82</v>
      </c>
      <c r="G75" s="235"/>
    </row>
    <row r="76" spans="1:7" x14ac:dyDescent="0.35">
      <c r="A76" s="228" t="s">
        <v>1709</v>
      </c>
      <c r="B76" s="228" t="s">
        <v>517</v>
      </c>
      <c r="C76" s="340" t="s">
        <v>82</v>
      </c>
      <c r="D76" s="340" t="s">
        <v>82</v>
      </c>
      <c r="E76" s="242"/>
      <c r="F76" s="340" t="s">
        <v>82</v>
      </c>
      <c r="G76" s="235"/>
    </row>
    <row r="77" spans="1:7" x14ac:dyDescent="0.35">
      <c r="A77" s="228" t="s">
        <v>1710</v>
      </c>
      <c r="B77" s="228" t="s">
        <v>519</v>
      </c>
      <c r="C77" s="340" t="s">
        <v>82</v>
      </c>
      <c r="D77" s="340" t="s">
        <v>82</v>
      </c>
      <c r="E77" s="242"/>
      <c r="F77" s="340" t="s">
        <v>82</v>
      </c>
      <c r="G77" s="235"/>
    </row>
    <row r="78" spans="1:7" x14ac:dyDescent="0.35">
      <c r="A78" s="228" t="s">
        <v>1711</v>
      </c>
      <c r="B78" s="228" t="s">
        <v>521</v>
      </c>
      <c r="C78" s="340" t="s">
        <v>82</v>
      </c>
      <c r="D78" s="340" t="s">
        <v>82</v>
      </c>
      <c r="E78" s="242"/>
      <c r="F78" s="340" t="s">
        <v>82</v>
      </c>
      <c r="G78" s="235"/>
    </row>
    <row r="79" spans="1:7" x14ac:dyDescent="0.35">
      <c r="A79" s="228" t="s">
        <v>1712</v>
      </c>
      <c r="B79" s="228" t="s">
        <v>523</v>
      </c>
      <c r="C79" s="340" t="s">
        <v>82</v>
      </c>
      <c r="D79" s="340" t="s">
        <v>82</v>
      </c>
      <c r="E79" s="242"/>
      <c r="F79" s="340" t="s">
        <v>82</v>
      </c>
      <c r="G79" s="235"/>
    </row>
    <row r="80" spans="1:7" x14ac:dyDescent="0.35">
      <c r="A80" s="228" t="s">
        <v>1713</v>
      </c>
      <c r="B80" s="228" t="s">
        <v>525</v>
      </c>
      <c r="C80" s="340" t="s">
        <v>82</v>
      </c>
      <c r="D80" s="340" t="s">
        <v>82</v>
      </c>
      <c r="E80" s="242"/>
      <c r="F80" s="340" t="s">
        <v>82</v>
      </c>
      <c r="G80" s="235"/>
    </row>
    <row r="81" spans="1:7" x14ac:dyDescent="0.35">
      <c r="A81" s="228" t="s">
        <v>1714</v>
      </c>
      <c r="B81" s="228" t="s">
        <v>527</v>
      </c>
      <c r="C81" s="340" t="s">
        <v>82</v>
      </c>
      <c r="D81" s="340" t="s">
        <v>82</v>
      </c>
      <c r="E81" s="242"/>
      <c r="F81" s="340" t="s">
        <v>82</v>
      </c>
      <c r="G81" s="235"/>
    </row>
    <row r="82" spans="1:7" x14ac:dyDescent="0.35">
      <c r="A82" s="228" t="s">
        <v>1715</v>
      </c>
      <c r="B82" s="228" t="s">
        <v>3</v>
      </c>
      <c r="C82" s="340" t="s">
        <v>82</v>
      </c>
      <c r="D82" s="340" t="s">
        <v>82</v>
      </c>
      <c r="E82" s="242"/>
      <c r="F82" s="340" t="s">
        <v>82</v>
      </c>
      <c r="G82" s="235"/>
    </row>
    <row r="83" spans="1:7" x14ac:dyDescent="0.35">
      <c r="A83" s="228" t="s">
        <v>1716</v>
      </c>
      <c r="B83" s="228" t="s">
        <v>530</v>
      </c>
      <c r="C83" s="340" t="s">
        <v>82</v>
      </c>
      <c r="D83" s="340" t="s">
        <v>82</v>
      </c>
      <c r="E83" s="242"/>
      <c r="F83" s="340" t="s">
        <v>82</v>
      </c>
      <c r="G83" s="235"/>
    </row>
    <row r="84" spans="1:7" x14ac:dyDescent="0.35">
      <c r="A84" s="228" t="s">
        <v>1717</v>
      </c>
      <c r="B84" s="228" t="s">
        <v>532</v>
      </c>
      <c r="C84" s="340" t="s">
        <v>82</v>
      </c>
      <c r="D84" s="340" t="s">
        <v>82</v>
      </c>
      <c r="E84" s="242"/>
      <c r="F84" s="340" t="s">
        <v>82</v>
      </c>
      <c r="G84" s="235"/>
    </row>
    <row r="85" spans="1:7" x14ac:dyDescent="0.35">
      <c r="A85" s="228" t="s">
        <v>1718</v>
      </c>
      <c r="B85" s="228" t="s">
        <v>534</v>
      </c>
      <c r="C85" s="340" t="s">
        <v>82</v>
      </c>
      <c r="D85" s="340" t="s">
        <v>82</v>
      </c>
      <c r="E85" s="242"/>
      <c r="F85" s="340" t="s">
        <v>82</v>
      </c>
      <c r="G85" s="235"/>
    </row>
    <row r="86" spans="1:7" x14ac:dyDescent="0.35">
      <c r="A86" s="228" t="s">
        <v>1719</v>
      </c>
      <c r="B86" s="228" t="s">
        <v>536</v>
      </c>
      <c r="C86" s="340" t="s">
        <v>82</v>
      </c>
      <c r="D86" s="340" t="s">
        <v>82</v>
      </c>
      <c r="E86" s="242"/>
      <c r="F86" s="340" t="s">
        <v>82</v>
      </c>
      <c r="G86" s="235"/>
    </row>
    <row r="87" spans="1:7" x14ac:dyDescent="0.35">
      <c r="A87" s="228" t="s">
        <v>1720</v>
      </c>
      <c r="B87" s="228" t="s">
        <v>538</v>
      </c>
      <c r="C87" s="340" t="s">
        <v>82</v>
      </c>
      <c r="D87" s="340" t="s">
        <v>82</v>
      </c>
      <c r="E87" s="242"/>
      <c r="F87" s="340" t="s">
        <v>82</v>
      </c>
      <c r="G87" s="235"/>
    </row>
    <row r="88" spans="1:7" x14ac:dyDescent="0.35">
      <c r="A88" s="228" t="s">
        <v>1721</v>
      </c>
      <c r="B88" s="228" t="s">
        <v>540</v>
      </c>
      <c r="C88" s="340" t="s">
        <v>82</v>
      </c>
      <c r="D88" s="340" t="s">
        <v>82</v>
      </c>
      <c r="E88" s="242"/>
      <c r="F88" s="340" t="s">
        <v>82</v>
      </c>
      <c r="G88" s="235"/>
    </row>
    <row r="89" spans="1:7" x14ac:dyDescent="0.35">
      <c r="A89" s="228" t="s">
        <v>1722</v>
      </c>
      <c r="B89" s="228" t="s">
        <v>542</v>
      </c>
      <c r="C89" s="340" t="s">
        <v>82</v>
      </c>
      <c r="D89" s="340" t="s">
        <v>82</v>
      </c>
      <c r="E89" s="242"/>
      <c r="F89" s="340" t="s">
        <v>82</v>
      </c>
      <c r="G89" s="235"/>
    </row>
    <row r="90" spans="1:7" x14ac:dyDescent="0.35">
      <c r="A90" s="228" t="s">
        <v>1723</v>
      </c>
      <c r="B90" s="228" t="s">
        <v>544</v>
      </c>
      <c r="C90" s="340" t="s">
        <v>82</v>
      </c>
      <c r="D90" s="340" t="s">
        <v>82</v>
      </c>
      <c r="E90" s="242"/>
      <c r="F90" s="340" t="s">
        <v>82</v>
      </c>
      <c r="G90" s="235"/>
    </row>
    <row r="91" spans="1:7" x14ac:dyDescent="0.35">
      <c r="A91" s="228" t="s">
        <v>1724</v>
      </c>
      <c r="B91" s="228" t="s">
        <v>546</v>
      </c>
      <c r="C91" s="340" t="s">
        <v>82</v>
      </c>
      <c r="D91" s="340" t="s">
        <v>82</v>
      </c>
      <c r="E91" s="242"/>
      <c r="F91" s="340" t="s">
        <v>82</v>
      </c>
      <c r="G91" s="235"/>
    </row>
    <row r="92" spans="1:7" x14ac:dyDescent="0.35">
      <c r="A92" s="228" t="s">
        <v>1725</v>
      </c>
      <c r="B92" s="228" t="s">
        <v>548</v>
      </c>
      <c r="C92" s="340" t="s">
        <v>82</v>
      </c>
      <c r="D92" s="340" t="s">
        <v>82</v>
      </c>
      <c r="E92" s="242"/>
      <c r="F92" s="340" t="s">
        <v>82</v>
      </c>
      <c r="G92" s="235"/>
    </row>
    <row r="93" spans="1:7" x14ac:dyDescent="0.35">
      <c r="A93" s="228" t="s">
        <v>1726</v>
      </c>
      <c r="B93" s="228" t="s">
        <v>6</v>
      </c>
      <c r="C93" s="340" t="s">
        <v>82</v>
      </c>
      <c r="D93" s="340" t="s">
        <v>82</v>
      </c>
      <c r="E93" s="242"/>
      <c r="F93" s="340" t="s">
        <v>82</v>
      </c>
      <c r="G93" s="235"/>
    </row>
    <row r="94" spans="1:7" x14ac:dyDescent="0.35">
      <c r="A94" s="228" t="s">
        <v>1727</v>
      </c>
      <c r="B94" s="234" t="s">
        <v>313</v>
      </c>
      <c r="C94" s="241">
        <f>SUM(C95:C97)</f>
        <v>0</v>
      </c>
      <c r="D94" s="241">
        <f>SUM(D95:D97)</f>
        <v>0</v>
      </c>
      <c r="E94" s="241"/>
      <c r="F94" s="241">
        <f>SUM(F95:F97)</f>
        <v>0</v>
      </c>
      <c r="G94" s="235"/>
    </row>
    <row r="95" spans="1:7" x14ac:dyDescent="0.35">
      <c r="A95" s="228" t="s">
        <v>1728</v>
      </c>
      <c r="B95" s="228" t="s">
        <v>554</v>
      </c>
      <c r="C95" s="340" t="s">
        <v>82</v>
      </c>
      <c r="D95" s="340" t="s">
        <v>82</v>
      </c>
      <c r="E95" s="242"/>
      <c r="F95" s="340" t="s">
        <v>82</v>
      </c>
      <c r="G95" s="235"/>
    </row>
    <row r="96" spans="1:7" x14ac:dyDescent="0.35">
      <c r="A96" s="228" t="s">
        <v>1729</v>
      </c>
      <c r="B96" s="228" t="s">
        <v>556</v>
      </c>
      <c r="C96" s="340" t="s">
        <v>82</v>
      </c>
      <c r="D96" s="340" t="s">
        <v>82</v>
      </c>
      <c r="E96" s="242"/>
      <c r="F96" s="340" t="s">
        <v>82</v>
      </c>
      <c r="G96" s="235"/>
    </row>
    <row r="97" spans="1:7" x14ac:dyDescent="0.35">
      <c r="A97" s="228" t="s">
        <v>1730</v>
      </c>
      <c r="B97" s="228" t="s">
        <v>2</v>
      </c>
      <c r="C97" s="340" t="s">
        <v>82</v>
      </c>
      <c r="D97" s="340" t="s">
        <v>82</v>
      </c>
      <c r="E97" s="242"/>
      <c r="F97" s="340" t="s">
        <v>82</v>
      </c>
      <c r="G97" s="235"/>
    </row>
    <row r="98" spans="1:7" x14ac:dyDescent="0.35">
      <c r="A98" s="228" t="s">
        <v>1731</v>
      </c>
      <c r="B98" s="234" t="s">
        <v>143</v>
      </c>
      <c r="C98" s="241">
        <f>SUM(C99:C109)</f>
        <v>0</v>
      </c>
      <c r="D98" s="241">
        <f>SUM(D99:D109)</f>
        <v>0</v>
      </c>
      <c r="E98" s="241"/>
      <c r="F98" s="241">
        <f>SUM(F99:F109)</f>
        <v>0</v>
      </c>
      <c r="G98" s="235"/>
    </row>
    <row r="99" spans="1:7" x14ac:dyDescent="0.35">
      <c r="A99" s="228" t="s">
        <v>1732</v>
      </c>
      <c r="B99" s="235" t="s">
        <v>315</v>
      </c>
      <c r="C99" s="340" t="s">
        <v>82</v>
      </c>
      <c r="D99" s="340" t="s">
        <v>82</v>
      </c>
      <c r="E99" s="242"/>
      <c r="F99" s="340" t="s">
        <v>82</v>
      </c>
      <c r="G99" s="235"/>
    </row>
    <row r="100" spans="1:7" s="216" customFormat="1" x14ac:dyDescent="0.35">
      <c r="A100" s="228" t="s">
        <v>1733</v>
      </c>
      <c r="B100" s="228" t="s">
        <v>551</v>
      </c>
      <c r="C100" s="340" t="s">
        <v>82</v>
      </c>
      <c r="D100" s="340" t="s">
        <v>82</v>
      </c>
      <c r="E100" s="242"/>
      <c r="F100" s="340" t="s">
        <v>82</v>
      </c>
      <c r="G100" s="235"/>
    </row>
    <row r="101" spans="1:7" x14ac:dyDescent="0.35">
      <c r="A101" s="228" t="s">
        <v>1734</v>
      </c>
      <c r="B101" s="235" t="s">
        <v>317</v>
      </c>
      <c r="C101" s="340" t="s">
        <v>82</v>
      </c>
      <c r="D101" s="340" t="s">
        <v>82</v>
      </c>
      <c r="E101" s="242"/>
      <c r="F101" s="340" t="s">
        <v>82</v>
      </c>
      <c r="G101" s="235"/>
    </row>
    <row r="102" spans="1:7" x14ac:dyDescent="0.35">
      <c r="A102" s="228" t="s">
        <v>1735</v>
      </c>
      <c r="B102" s="235" t="s">
        <v>319</v>
      </c>
      <c r="C102" s="340" t="s">
        <v>82</v>
      </c>
      <c r="D102" s="340" t="s">
        <v>82</v>
      </c>
      <c r="E102" s="242"/>
      <c r="F102" s="340" t="s">
        <v>82</v>
      </c>
      <c r="G102" s="235"/>
    </row>
    <row r="103" spans="1:7" x14ac:dyDescent="0.35">
      <c r="A103" s="228" t="s">
        <v>1736</v>
      </c>
      <c r="B103" s="235" t="s">
        <v>12</v>
      </c>
      <c r="C103" s="340" t="s">
        <v>82</v>
      </c>
      <c r="D103" s="340" t="s">
        <v>82</v>
      </c>
      <c r="E103" s="242"/>
      <c r="F103" s="340" t="s">
        <v>82</v>
      </c>
      <c r="G103" s="235"/>
    </row>
    <row r="104" spans="1:7" x14ac:dyDescent="0.35">
      <c r="A104" s="228" t="s">
        <v>1737</v>
      </c>
      <c r="B104" s="235" t="s">
        <v>322</v>
      </c>
      <c r="C104" s="340" t="s">
        <v>82</v>
      </c>
      <c r="D104" s="340" t="s">
        <v>82</v>
      </c>
      <c r="E104" s="242"/>
      <c r="F104" s="340" t="s">
        <v>82</v>
      </c>
      <c r="G104" s="235"/>
    </row>
    <row r="105" spans="1:7" x14ac:dyDescent="0.35">
      <c r="A105" s="228" t="s">
        <v>1738</v>
      </c>
      <c r="B105" s="235" t="s">
        <v>324</v>
      </c>
      <c r="C105" s="340" t="s">
        <v>82</v>
      </c>
      <c r="D105" s="340" t="s">
        <v>82</v>
      </c>
      <c r="E105" s="242"/>
      <c r="F105" s="340" t="s">
        <v>82</v>
      </c>
      <c r="G105" s="235"/>
    </row>
    <row r="106" spans="1:7" x14ac:dyDescent="0.35">
      <c r="A106" s="228" t="s">
        <v>1739</v>
      </c>
      <c r="B106" s="235" t="s">
        <v>326</v>
      </c>
      <c r="C106" s="340" t="s">
        <v>82</v>
      </c>
      <c r="D106" s="340" t="s">
        <v>82</v>
      </c>
      <c r="E106" s="242"/>
      <c r="F106" s="340" t="s">
        <v>82</v>
      </c>
      <c r="G106" s="235"/>
    </row>
    <row r="107" spans="1:7" x14ac:dyDescent="0.35">
      <c r="A107" s="228" t="s">
        <v>1740</v>
      </c>
      <c r="B107" s="235" t="s">
        <v>328</v>
      </c>
      <c r="C107" s="340" t="s">
        <v>82</v>
      </c>
      <c r="D107" s="340" t="s">
        <v>82</v>
      </c>
      <c r="E107" s="242"/>
      <c r="F107" s="340" t="s">
        <v>82</v>
      </c>
      <c r="G107" s="235"/>
    </row>
    <row r="108" spans="1:7" x14ac:dyDescent="0.35">
      <c r="A108" s="228" t="s">
        <v>1741</v>
      </c>
      <c r="B108" s="235" t="s">
        <v>330</v>
      </c>
      <c r="C108" s="340" t="s">
        <v>82</v>
      </c>
      <c r="D108" s="340" t="s">
        <v>82</v>
      </c>
      <c r="E108" s="242"/>
      <c r="F108" s="340" t="s">
        <v>82</v>
      </c>
      <c r="G108" s="235"/>
    </row>
    <row r="109" spans="1:7" x14ac:dyDescent="0.35">
      <c r="A109" s="228" t="s">
        <v>1742</v>
      </c>
      <c r="B109" s="235" t="s">
        <v>143</v>
      </c>
      <c r="C109" s="340" t="s">
        <v>82</v>
      </c>
      <c r="D109" s="340" t="s">
        <v>82</v>
      </c>
      <c r="E109" s="242"/>
      <c r="F109" s="340" t="s">
        <v>82</v>
      </c>
      <c r="G109" s="235"/>
    </row>
    <row r="110" spans="1:7" x14ac:dyDescent="0.35">
      <c r="A110" s="228" t="s">
        <v>2015</v>
      </c>
      <c r="B110" s="336" t="s">
        <v>147</v>
      </c>
      <c r="C110" s="340"/>
      <c r="D110" s="340"/>
      <c r="E110" s="242"/>
      <c r="F110" s="340"/>
      <c r="G110" s="235"/>
    </row>
    <row r="111" spans="1:7" x14ac:dyDescent="0.35">
      <c r="A111" s="228" t="s">
        <v>2016</v>
      </c>
      <c r="B111" s="336" t="s">
        <v>147</v>
      </c>
      <c r="C111" s="340"/>
      <c r="D111" s="340"/>
      <c r="E111" s="242"/>
      <c r="F111" s="340"/>
      <c r="G111" s="235"/>
    </row>
    <row r="112" spans="1:7" x14ac:dyDescent="0.35">
      <c r="A112" s="228" t="s">
        <v>2017</v>
      </c>
      <c r="B112" s="336" t="s">
        <v>147</v>
      </c>
      <c r="C112" s="340"/>
      <c r="D112" s="340"/>
      <c r="E112" s="242"/>
      <c r="F112" s="340"/>
      <c r="G112" s="235"/>
    </row>
    <row r="113" spans="1:7" x14ac:dyDescent="0.35">
      <c r="A113" s="228" t="s">
        <v>2018</v>
      </c>
      <c r="B113" s="336" t="s">
        <v>147</v>
      </c>
      <c r="C113" s="340"/>
      <c r="D113" s="340"/>
      <c r="E113" s="242"/>
      <c r="F113" s="340"/>
      <c r="G113" s="235"/>
    </row>
    <row r="114" spans="1:7" x14ac:dyDescent="0.35">
      <c r="A114" s="228" t="s">
        <v>2019</v>
      </c>
      <c r="B114" s="336" t="s">
        <v>147</v>
      </c>
      <c r="C114" s="340"/>
      <c r="D114" s="340"/>
      <c r="E114" s="242"/>
      <c r="F114" s="340"/>
      <c r="G114" s="235"/>
    </row>
    <row r="115" spans="1:7" x14ac:dyDescent="0.35">
      <c r="A115" s="228" t="s">
        <v>2020</v>
      </c>
      <c r="B115" s="336" t="s">
        <v>147</v>
      </c>
      <c r="C115" s="340"/>
      <c r="D115" s="340"/>
      <c r="E115" s="242"/>
      <c r="F115" s="340"/>
      <c r="G115" s="235"/>
    </row>
    <row r="116" spans="1:7" x14ac:dyDescent="0.35">
      <c r="A116" s="228" t="s">
        <v>2021</v>
      </c>
      <c r="B116" s="336" t="s">
        <v>147</v>
      </c>
      <c r="C116" s="340"/>
      <c r="D116" s="340"/>
      <c r="E116" s="242"/>
      <c r="F116" s="340"/>
      <c r="G116" s="235"/>
    </row>
    <row r="117" spans="1:7" x14ac:dyDescent="0.35">
      <c r="A117" s="228" t="s">
        <v>2022</v>
      </c>
      <c r="B117" s="336" t="s">
        <v>147</v>
      </c>
      <c r="C117" s="340"/>
      <c r="D117" s="340"/>
      <c r="E117" s="242"/>
      <c r="F117" s="340"/>
      <c r="G117" s="235"/>
    </row>
    <row r="118" spans="1:7" x14ac:dyDescent="0.35">
      <c r="A118" s="228" t="s">
        <v>2023</v>
      </c>
      <c r="B118" s="336" t="s">
        <v>147</v>
      </c>
      <c r="C118" s="340"/>
      <c r="D118" s="340"/>
      <c r="E118" s="242"/>
      <c r="F118" s="340"/>
      <c r="G118" s="235"/>
    </row>
    <row r="119" spans="1:7" x14ac:dyDescent="0.35">
      <c r="A119" s="228" t="s">
        <v>2024</v>
      </c>
      <c r="B119" s="336" t="s">
        <v>147</v>
      </c>
      <c r="C119" s="340"/>
      <c r="D119" s="340"/>
      <c r="E119" s="242"/>
      <c r="F119" s="340"/>
      <c r="G119" s="235"/>
    </row>
    <row r="120" spans="1:7" x14ac:dyDescent="0.35">
      <c r="A120" s="85"/>
      <c r="B120" s="85" t="s">
        <v>1551</v>
      </c>
      <c r="C120" s="85" t="s">
        <v>486</v>
      </c>
      <c r="D120" s="85" t="s">
        <v>487</v>
      </c>
      <c r="E120" s="85"/>
      <c r="F120" s="85" t="s">
        <v>454</v>
      </c>
      <c r="G120" s="85"/>
    </row>
    <row r="121" spans="1:7" x14ac:dyDescent="0.35">
      <c r="A121" s="228" t="s">
        <v>1743</v>
      </c>
      <c r="B121" s="333" t="s">
        <v>579</v>
      </c>
      <c r="C121" s="340" t="s">
        <v>82</v>
      </c>
      <c r="D121" s="340" t="s">
        <v>82</v>
      </c>
      <c r="E121" s="242"/>
      <c r="F121" s="340" t="s">
        <v>82</v>
      </c>
      <c r="G121" s="235"/>
    </row>
    <row r="122" spans="1:7" x14ac:dyDescent="0.35">
      <c r="A122" s="228" t="s">
        <v>1744</v>
      </c>
      <c r="B122" s="333" t="s">
        <v>579</v>
      </c>
      <c r="C122" s="340" t="s">
        <v>82</v>
      </c>
      <c r="D122" s="340" t="s">
        <v>82</v>
      </c>
      <c r="E122" s="242"/>
      <c r="F122" s="340" t="s">
        <v>82</v>
      </c>
      <c r="G122" s="235"/>
    </row>
    <row r="123" spans="1:7" x14ac:dyDescent="0.35">
      <c r="A123" s="228" t="s">
        <v>1745</v>
      </c>
      <c r="B123" s="333" t="s">
        <v>579</v>
      </c>
      <c r="C123" s="340" t="s">
        <v>82</v>
      </c>
      <c r="D123" s="340" t="s">
        <v>82</v>
      </c>
      <c r="E123" s="242"/>
      <c r="F123" s="340" t="s">
        <v>82</v>
      </c>
      <c r="G123" s="235"/>
    </row>
    <row r="124" spans="1:7" x14ac:dyDescent="0.35">
      <c r="A124" s="228" t="s">
        <v>1746</v>
      </c>
      <c r="B124" s="333" t="s">
        <v>579</v>
      </c>
      <c r="C124" s="340" t="s">
        <v>82</v>
      </c>
      <c r="D124" s="340" t="s">
        <v>82</v>
      </c>
      <c r="E124" s="242"/>
      <c r="F124" s="340" t="s">
        <v>82</v>
      </c>
      <c r="G124" s="235"/>
    </row>
    <row r="125" spans="1:7" x14ac:dyDescent="0.35">
      <c r="A125" s="228" t="s">
        <v>1747</v>
      </c>
      <c r="B125" s="333" t="s">
        <v>579</v>
      </c>
      <c r="C125" s="340" t="s">
        <v>82</v>
      </c>
      <c r="D125" s="340" t="s">
        <v>82</v>
      </c>
      <c r="E125" s="242"/>
      <c r="F125" s="340" t="s">
        <v>82</v>
      </c>
      <c r="G125" s="235"/>
    </row>
    <row r="126" spans="1:7" x14ac:dyDescent="0.35">
      <c r="A126" s="228" t="s">
        <v>1748</v>
      </c>
      <c r="B126" s="333" t="s">
        <v>579</v>
      </c>
      <c r="C126" s="340" t="s">
        <v>82</v>
      </c>
      <c r="D126" s="340" t="s">
        <v>82</v>
      </c>
      <c r="E126" s="242"/>
      <c r="F126" s="340" t="s">
        <v>82</v>
      </c>
      <c r="G126" s="235"/>
    </row>
    <row r="127" spans="1:7" x14ac:dyDescent="0.35">
      <c r="A127" s="228" t="s">
        <v>1749</v>
      </c>
      <c r="B127" s="333" t="s">
        <v>579</v>
      </c>
      <c r="C127" s="340" t="s">
        <v>82</v>
      </c>
      <c r="D127" s="340" t="s">
        <v>82</v>
      </c>
      <c r="E127" s="242"/>
      <c r="F127" s="340" t="s">
        <v>82</v>
      </c>
      <c r="G127" s="235"/>
    </row>
    <row r="128" spans="1:7" x14ac:dyDescent="0.35">
      <c r="A128" s="228" t="s">
        <v>1750</v>
      </c>
      <c r="B128" s="333" t="s">
        <v>579</v>
      </c>
      <c r="C128" s="340" t="s">
        <v>82</v>
      </c>
      <c r="D128" s="340" t="s">
        <v>82</v>
      </c>
      <c r="E128" s="242"/>
      <c r="F128" s="340" t="s">
        <v>82</v>
      </c>
      <c r="G128" s="235"/>
    </row>
    <row r="129" spans="1:7" x14ac:dyDescent="0.35">
      <c r="A129" s="228" t="s">
        <v>1751</v>
      </c>
      <c r="B129" s="333" t="s">
        <v>579</v>
      </c>
      <c r="C129" s="340" t="s">
        <v>82</v>
      </c>
      <c r="D129" s="340" t="s">
        <v>82</v>
      </c>
      <c r="E129" s="242"/>
      <c r="F129" s="340" t="s">
        <v>82</v>
      </c>
      <c r="G129" s="235"/>
    </row>
    <row r="130" spans="1:7" x14ac:dyDescent="0.35">
      <c r="A130" s="228" t="s">
        <v>1752</v>
      </c>
      <c r="B130" s="333" t="s">
        <v>579</v>
      </c>
      <c r="C130" s="340" t="s">
        <v>82</v>
      </c>
      <c r="D130" s="340" t="s">
        <v>82</v>
      </c>
      <c r="E130" s="242"/>
      <c r="F130" s="340" t="s">
        <v>82</v>
      </c>
      <c r="G130" s="235"/>
    </row>
    <row r="131" spans="1:7" x14ac:dyDescent="0.35">
      <c r="A131" s="228" t="s">
        <v>1753</v>
      </c>
      <c r="B131" s="333" t="s">
        <v>579</v>
      </c>
      <c r="C131" s="340" t="s">
        <v>82</v>
      </c>
      <c r="D131" s="340" t="s">
        <v>82</v>
      </c>
      <c r="E131" s="242"/>
      <c r="F131" s="340" t="s">
        <v>82</v>
      </c>
      <c r="G131" s="235"/>
    </row>
    <row r="132" spans="1:7" x14ac:dyDescent="0.35">
      <c r="A132" s="228" t="s">
        <v>1754</v>
      </c>
      <c r="B132" s="333" t="s">
        <v>579</v>
      </c>
      <c r="C132" s="340" t="s">
        <v>82</v>
      </c>
      <c r="D132" s="340" t="s">
        <v>82</v>
      </c>
      <c r="E132" s="242"/>
      <c r="F132" s="340" t="s">
        <v>82</v>
      </c>
      <c r="G132" s="235"/>
    </row>
    <row r="133" spans="1:7" x14ac:dyDescent="0.35">
      <c r="A133" s="228" t="s">
        <v>1755</v>
      </c>
      <c r="B133" s="333" t="s">
        <v>579</v>
      </c>
      <c r="C133" s="340" t="s">
        <v>82</v>
      </c>
      <c r="D133" s="340" t="s">
        <v>82</v>
      </c>
      <c r="E133" s="242"/>
      <c r="F133" s="340" t="s">
        <v>82</v>
      </c>
      <c r="G133" s="235"/>
    </row>
    <row r="134" spans="1:7" x14ac:dyDescent="0.35">
      <c r="A134" s="228" t="s">
        <v>1756</v>
      </c>
      <c r="B134" s="333" t="s">
        <v>579</v>
      </c>
      <c r="C134" s="340" t="s">
        <v>82</v>
      </c>
      <c r="D134" s="340" t="s">
        <v>82</v>
      </c>
      <c r="E134" s="242"/>
      <c r="F134" s="340" t="s">
        <v>82</v>
      </c>
      <c r="G134" s="235"/>
    </row>
    <row r="135" spans="1:7" x14ac:dyDescent="0.35">
      <c r="A135" s="228" t="s">
        <v>1757</v>
      </c>
      <c r="B135" s="333" t="s">
        <v>579</v>
      </c>
      <c r="C135" s="340" t="s">
        <v>82</v>
      </c>
      <c r="D135" s="340" t="s">
        <v>82</v>
      </c>
      <c r="E135" s="242"/>
      <c r="F135" s="340" t="s">
        <v>82</v>
      </c>
      <c r="G135" s="235"/>
    </row>
    <row r="136" spans="1:7" x14ac:dyDescent="0.35">
      <c r="A136" s="228" t="s">
        <v>1758</v>
      </c>
      <c r="B136" s="333" t="s">
        <v>579</v>
      </c>
      <c r="C136" s="340" t="s">
        <v>82</v>
      </c>
      <c r="D136" s="340" t="s">
        <v>82</v>
      </c>
      <c r="E136" s="242"/>
      <c r="F136" s="340" t="s">
        <v>82</v>
      </c>
      <c r="G136" s="235"/>
    </row>
    <row r="137" spans="1:7" x14ac:dyDescent="0.35">
      <c r="A137" s="228" t="s">
        <v>1759</v>
      </c>
      <c r="B137" s="333" t="s">
        <v>579</v>
      </c>
      <c r="C137" s="340" t="s">
        <v>82</v>
      </c>
      <c r="D137" s="340" t="s">
        <v>82</v>
      </c>
      <c r="E137" s="242"/>
      <c r="F137" s="340" t="s">
        <v>82</v>
      </c>
      <c r="G137" s="235"/>
    </row>
    <row r="138" spans="1:7" x14ac:dyDescent="0.35">
      <c r="A138" s="228" t="s">
        <v>1760</v>
      </c>
      <c r="B138" s="333" t="s">
        <v>579</v>
      </c>
      <c r="C138" s="340" t="s">
        <v>82</v>
      </c>
      <c r="D138" s="340" t="s">
        <v>82</v>
      </c>
      <c r="E138" s="242"/>
      <c r="F138" s="340" t="s">
        <v>82</v>
      </c>
      <c r="G138" s="235"/>
    </row>
    <row r="139" spans="1:7" x14ac:dyDescent="0.35">
      <c r="A139" s="228" t="s">
        <v>1761</v>
      </c>
      <c r="B139" s="333" t="s">
        <v>579</v>
      </c>
      <c r="C139" s="340" t="s">
        <v>82</v>
      </c>
      <c r="D139" s="340" t="s">
        <v>82</v>
      </c>
      <c r="E139" s="242"/>
      <c r="F139" s="340" t="s">
        <v>82</v>
      </c>
      <c r="G139" s="235"/>
    </row>
    <row r="140" spans="1:7" x14ac:dyDescent="0.35">
      <c r="A140" s="228" t="s">
        <v>1762</v>
      </c>
      <c r="B140" s="333" t="s">
        <v>579</v>
      </c>
      <c r="C140" s="340" t="s">
        <v>82</v>
      </c>
      <c r="D140" s="340" t="s">
        <v>82</v>
      </c>
      <c r="E140" s="242"/>
      <c r="F140" s="340" t="s">
        <v>82</v>
      </c>
      <c r="G140" s="235"/>
    </row>
    <row r="141" spans="1:7" x14ac:dyDescent="0.35">
      <c r="A141" s="228" t="s">
        <v>1763</v>
      </c>
      <c r="B141" s="333" t="s">
        <v>579</v>
      </c>
      <c r="C141" s="340" t="s">
        <v>82</v>
      </c>
      <c r="D141" s="340" t="s">
        <v>82</v>
      </c>
      <c r="E141" s="242"/>
      <c r="F141" s="340" t="s">
        <v>82</v>
      </c>
      <c r="G141" s="235"/>
    </row>
    <row r="142" spans="1:7" x14ac:dyDescent="0.35">
      <c r="A142" s="228" t="s">
        <v>1764</v>
      </c>
      <c r="B142" s="333" t="s">
        <v>579</v>
      </c>
      <c r="C142" s="340" t="s">
        <v>82</v>
      </c>
      <c r="D142" s="340" t="s">
        <v>82</v>
      </c>
      <c r="E142" s="242"/>
      <c r="F142" s="340" t="s">
        <v>82</v>
      </c>
      <c r="G142" s="235"/>
    </row>
    <row r="143" spans="1:7" x14ac:dyDescent="0.35">
      <c r="A143" s="228" t="s">
        <v>1765</v>
      </c>
      <c r="B143" s="333" t="s">
        <v>579</v>
      </c>
      <c r="C143" s="340" t="s">
        <v>82</v>
      </c>
      <c r="D143" s="340" t="s">
        <v>82</v>
      </c>
      <c r="E143" s="242"/>
      <c r="F143" s="340" t="s">
        <v>82</v>
      </c>
      <c r="G143" s="235"/>
    </row>
    <row r="144" spans="1:7" x14ac:dyDescent="0.35">
      <c r="A144" s="228" t="s">
        <v>1766</v>
      </c>
      <c r="B144" s="333" t="s">
        <v>579</v>
      </c>
      <c r="C144" s="340" t="s">
        <v>82</v>
      </c>
      <c r="D144" s="340" t="s">
        <v>82</v>
      </c>
      <c r="E144" s="242"/>
      <c r="F144" s="340" t="s">
        <v>82</v>
      </c>
      <c r="G144" s="235"/>
    </row>
    <row r="145" spans="1:7" x14ac:dyDescent="0.35">
      <c r="A145" s="228" t="s">
        <v>1767</v>
      </c>
      <c r="B145" s="333" t="s">
        <v>579</v>
      </c>
      <c r="C145" s="340" t="s">
        <v>82</v>
      </c>
      <c r="D145" s="340" t="s">
        <v>82</v>
      </c>
      <c r="E145" s="242"/>
      <c r="F145" s="340" t="s">
        <v>82</v>
      </c>
      <c r="G145" s="235"/>
    </row>
    <row r="146" spans="1:7" x14ac:dyDescent="0.35">
      <c r="A146" s="228" t="s">
        <v>1768</v>
      </c>
      <c r="B146" s="333" t="s">
        <v>579</v>
      </c>
      <c r="C146" s="340" t="s">
        <v>82</v>
      </c>
      <c r="D146" s="340" t="s">
        <v>82</v>
      </c>
      <c r="E146" s="242"/>
      <c r="F146" s="340" t="s">
        <v>82</v>
      </c>
      <c r="G146" s="235"/>
    </row>
    <row r="147" spans="1:7" x14ac:dyDescent="0.35">
      <c r="A147" s="228" t="s">
        <v>1769</v>
      </c>
      <c r="B147" s="333" t="s">
        <v>579</v>
      </c>
      <c r="C147" s="340" t="s">
        <v>82</v>
      </c>
      <c r="D147" s="340" t="s">
        <v>82</v>
      </c>
      <c r="E147" s="242"/>
      <c r="F147" s="340" t="s">
        <v>82</v>
      </c>
      <c r="G147" s="235"/>
    </row>
    <row r="148" spans="1:7" x14ac:dyDescent="0.35">
      <c r="A148" s="228" t="s">
        <v>1770</v>
      </c>
      <c r="B148" s="333" t="s">
        <v>579</v>
      </c>
      <c r="C148" s="340" t="s">
        <v>82</v>
      </c>
      <c r="D148" s="340" t="s">
        <v>82</v>
      </c>
      <c r="E148" s="242"/>
      <c r="F148" s="340" t="s">
        <v>82</v>
      </c>
      <c r="G148" s="235"/>
    </row>
    <row r="149" spans="1:7" x14ac:dyDescent="0.35">
      <c r="A149" s="228" t="s">
        <v>1771</v>
      </c>
      <c r="B149" s="333" t="s">
        <v>579</v>
      </c>
      <c r="C149" s="340" t="s">
        <v>82</v>
      </c>
      <c r="D149" s="340" t="s">
        <v>82</v>
      </c>
      <c r="E149" s="242"/>
      <c r="F149" s="340" t="s">
        <v>82</v>
      </c>
      <c r="G149" s="235"/>
    </row>
    <row r="150" spans="1:7" x14ac:dyDescent="0.35">
      <c r="A150" s="228" t="s">
        <v>1772</v>
      </c>
      <c r="B150" s="333" t="s">
        <v>579</v>
      </c>
      <c r="C150" s="340" t="s">
        <v>82</v>
      </c>
      <c r="D150" s="340" t="s">
        <v>82</v>
      </c>
      <c r="E150" s="242"/>
      <c r="F150" s="340" t="s">
        <v>82</v>
      </c>
      <c r="G150" s="235"/>
    </row>
    <row r="151" spans="1:7" x14ac:dyDescent="0.35">
      <c r="A151" s="228" t="s">
        <v>1773</v>
      </c>
      <c r="B151" s="333" t="s">
        <v>579</v>
      </c>
      <c r="C151" s="340" t="s">
        <v>82</v>
      </c>
      <c r="D151" s="340" t="s">
        <v>82</v>
      </c>
      <c r="E151" s="242"/>
      <c r="F151" s="340" t="s">
        <v>82</v>
      </c>
      <c r="G151" s="235"/>
    </row>
    <row r="152" spans="1:7" x14ac:dyDescent="0.35">
      <c r="A152" s="228" t="s">
        <v>1774</v>
      </c>
      <c r="B152" s="333" t="s">
        <v>579</v>
      </c>
      <c r="C152" s="340" t="s">
        <v>82</v>
      </c>
      <c r="D152" s="340" t="s">
        <v>82</v>
      </c>
      <c r="E152" s="242"/>
      <c r="F152" s="340" t="s">
        <v>82</v>
      </c>
      <c r="G152" s="235"/>
    </row>
    <row r="153" spans="1:7" x14ac:dyDescent="0.35">
      <c r="A153" s="228" t="s">
        <v>1775</v>
      </c>
      <c r="B153" s="333" t="s">
        <v>579</v>
      </c>
      <c r="C153" s="340" t="s">
        <v>82</v>
      </c>
      <c r="D153" s="340" t="s">
        <v>82</v>
      </c>
      <c r="E153" s="242"/>
      <c r="F153" s="340" t="s">
        <v>82</v>
      </c>
      <c r="G153" s="235"/>
    </row>
    <row r="154" spans="1:7" x14ac:dyDescent="0.35">
      <c r="A154" s="228" t="s">
        <v>1776</v>
      </c>
      <c r="B154" s="333" t="s">
        <v>579</v>
      </c>
      <c r="C154" s="340" t="s">
        <v>82</v>
      </c>
      <c r="D154" s="340" t="s">
        <v>82</v>
      </c>
      <c r="E154" s="242"/>
      <c r="F154" s="340" t="s">
        <v>82</v>
      </c>
      <c r="G154" s="235"/>
    </row>
    <row r="155" spans="1:7" x14ac:dyDescent="0.35">
      <c r="A155" s="228" t="s">
        <v>1777</v>
      </c>
      <c r="B155" s="333" t="s">
        <v>579</v>
      </c>
      <c r="C155" s="340" t="s">
        <v>82</v>
      </c>
      <c r="D155" s="340" t="s">
        <v>82</v>
      </c>
      <c r="E155" s="242"/>
      <c r="F155" s="340" t="s">
        <v>82</v>
      </c>
      <c r="G155" s="235"/>
    </row>
    <row r="156" spans="1:7" x14ac:dyDescent="0.35">
      <c r="A156" s="228" t="s">
        <v>1778</v>
      </c>
      <c r="B156" s="333" t="s">
        <v>579</v>
      </c>
      <c r="C156" s="340" t="s">
        <v>82</v>
      </c>
      <c r="D156" s="340" t="s">
        <v>82</v>
      </c>
      <c r="E156" s="242"/>
      <c r="F156" s="340" t="s">
        <v>82</v>
      </c>
      <c r="G156" s="235"/>
    </row>
    <row r="157" spans="1:7" x14ac:dyDescent="0.35">
      <c r="A157" s="228" t="s">
        <v>1779</v>
      </c>
      <c r="B157" s="333" t="s">
        <v>579</v>
      </c>
      <c r="C157" s="340" t="s">
        <v>82</v>
      </c>
      <c r="D157" s="340" t="s">
        <v>82</v>
      </c>
      <c r="E157" s="242"/>
      <c r="F157" s="340" t="s">
        <v>82</v>
      </c>
      <c r="G157" s="235"/>
    </row>
    <row r="158" spans="1:7" x14ac:dyDescent="0.35">
      <c r="A158" s="228" t="s">
        <v>1780</v>
      </c>
      <c r="B158" s="333" t="s">
        <v>579</v>
      </c>
      <c r="C158" s="340" t="s">
        <v>82</v>
      </c>
      <c r="D158" s="340" t="s">
        <v>82</v>
      </c>
      <c r="E158" s="242"/>
      <c r="F158" s="340" t="s">
        <v>82</v>
      </c>
      <c r="G158" s="235"/>
    </row>
    <row r="159" spans="1:7" x14ac:dyDescent="0.35">
      <c r="A159" s="228" t="s">
        <v>1781</v>
      </c>
      <c r="B159" s="333" t="s">
        <v>579</v>
      </c>
      <c r="C159" s="340" t="s">
        <v>82</v>
      </c>
      <c r="D159" s="340" t="s">
        <v>82</v>
      </c>
      <c r="E159" s="242"/>
      <c r="F159" s="340" t="s">
        <v>82</v>
      </c>
      <c r="G159" s="235"/>
    </row>
    <row r="160" spans="1:7" x14ac:dyDescent="0.35">
      <c r="A160" s="228" t="s">
        <v>1782</v>
      </c>
      <c r="B160" s="333" t="s">
        <v>579</v>
      </c>
      <c r="C160" s="340" t="s">
        <v>82</v>
      </c>
      <c r="D160" s="340" t="s">
        <v>82</v>
      </c>
      <c r="E160" s="242"/>
      <c r="F160" s="340" t="s">
        <v>82</v>
      </c>
      <c r="G160" s="235"/>
    </row>
    <row r="161" spans="1:7" x14ac:dyDescent="0.35">
      <c r="A161" s="228" t="s">
        <v>1783</v>
      </c>
      <c r="B161" s="333" t="s">
        <v>579</v>
      </c>
      <c r="C161" s="340" t="s">
        <v>82</v>
      </c>
      <c r="D161" s="340" t="s">
        <v>82</v>
      </c>
      <c r="E161" s="242"/>
      <c r="F161" s="340" t="s">
        <v>82</v>
      </c>
      <c r="G161" s="235"/>
    </row>
    <row r="162" spans="1:7" x14ac:dyDescent="0.35">
      <c r="A162" s="228" t="s">
        <v>1784</v>
      </c>
      <c r="B162" s="333" t="s">
        <v>579</v>
      </c>
      <c r="C162" s="340" t="s">
        <v>82</v>
      </c>
      <c r="D162" s="340" t="s">
        <v>82</v>
      </c>
      <c r="E162" s="242"/>
      <c r="F162" s="340" t="s">
        <v>82</v>
      </c>
      <c r="G162" s="235"/>
    </row>
    <row r="163" spans="1:7" x14ac:dyDescent="0.35">
      <c r="A163" s="228" t="s">
        <v>1785</v>
      </c>
      <c r="B163" s="333" t="s">
        <v>579</v>
      </c>
      <c r="C163" s="340" t="s">
        <v>82</v>
      </c>
      <c r="D163" s="340" t="s">
        <v>82</v>
      </c>
      <c r="E163" s="242"/>
      <c r="F163" s="340" t="s">
        <v>82</v>
      </c>
      <c r="G163" s="235"/>
    </row>
    <row r="164" spans="1:7" x14ac:dyDescent="0.35">
      <c r="A164" s="228" t="s">
        <v>1786</v>
      </c>
      <c r="B164" s="333" t="s">
        <v>579</v>
      </c>
      <c r="C164" s="340" t="s">
        <v>82</v>
      </c>
      <c r="D164" s="340" t="s">
        <v>82</v>
      </c>
      <c r="E164" s="242"/>
      <c r="F164" s="340" t="s">
        <v>82</v>
      </c>
      <c r="G164" s="235"/>
    </row>
    <row r="165" spans="1:7" x14ac:dyDescent="0.35">
      <c r="A165" s="228" t="s">
        <v>1787</v>
      </c>
      <c r="B165" s="333" t="s">
        <v>579</v>
      </c>
      <c r="C165" s="340" t="s">
        <v>82</v>
      </c>
      <c r="D165" s="340" t="s">
        <v>82</v>
      </c>
      <c r="E165" s="242"/>
      <c r="F165" s="340" t="s">
        <v>82</v>
      </c>
      <c r="G165" s="235"/>
    </row>
    <row r="166" spans="1:7" x14ac:dyDescent="0.35">
      <c r="A166" s="228" t="s">
        <v>1788</v>
      </c>
      <c r="B166" s="333" t="s">
        <v>579</v>
      </c>
      <c r="C166" s="340" t="s">
        <v>82</v>
      </c>
      <c r="D166" s="340" t="s">
        <v>82</v>
      </c>
      <c r="E166" s="242"/>
      <c r="F166" s="340" t="s">
        <v>82</v>
      </c>
      <c r="G166" s="235"/>
    </row>
    <row r="167" spans="1:7" x14ac:dyDescent="0.35">
      <c r="A167" s="228" t="s">
        <v>1789</v>
      </c>
      <c r="B167" s="333" t="s">
        <v>579</v>
      </c>
      <c r="C167" s="340" t="s">
        <v>82</v>
      </c>
      <c r="D167" s="340" t="s">
        <v>82</v>
      </c>
      <c r="E167" s="242"/>
      <c r="F167" s="340" t="s">
        <v>82</v>
      </c>
      <c r="G167" s="235"/>
    </row>
    <row r="168" spans="1:7" x14ac:dyDescent="0.35">
      <c r="A168" s="228" t="s">
        <v>1790</v>
      </c>
      <c r="B168" s="333" t="s">
        <v>579</v>
      </c>
      <c r="C168" s="340" t="s">
        <v>82</v>
      </c>
      <c r="D168" s="340" t="s">
        <v>82</v>
      </c>
      <c r="E168" s="242"/>
      <c r="F168" s="340" t="s">
        <v>82</v>
      </c>
      <c r="G168" s="235"/>
    </row>
    <row r="169" spans="1:7" x14ac:dyDescent="0.35">
      <c r="A169" s="228" t="s">
        <v>1791</v>
      </c>
      <c r="B169" s="333" t="s">
        <v>579</v>
      </c>
      <c r="C169" s="340" t="s">
        <v>82</v>
      </c>
      <c r="D169" s="340" t="s">
        <v>82</v>
      </c>
      <c r="E169" s="242"/>
      <c r="F169" s="340" t="s">
        <v>82</v>
      </c>
      <c r="G169" s="235"/>
    </row>
    <row r="170" spans="1:7" x14ac:dyDescent="0.35">
      <c r="A170" s="228" t="s">
        <v>1792</v>
      </c>
      <c r="B170" s="333" t="s">
        <v>579</v>
      </c>
      <c r="C170" s="340" t="s">
        <v>82</v>
      </c>
      <c r="D170" s="340" t="s">
        <v>82</v>
      </c>
      <c r="E170" s="242"/>
      <c r="F170" s="340" t="s">
        <v>82</v>
      </c>
      <c r="G170" s="235"/>
    </row>
    <row r="171" spans="1:7" x14ac:dyDescent="0.35">
      <c r="A171" s="85"/>
      <c r="B171" s="85" t="s">
        <v>610</v>
      </c>
      <c r="C171" s="85" t="s">
        <v>486</v>
      </c>
      <c r="D171" s="85" t="s">
        <v>487</v>
      </c>
      <c r="E171" s="85"/>
      <c r="F171" s="85" t="s">
        <v>454</v>
      </c>
      <c r="G171" s="85"/>
    </row>
    <row r="172" spans="1:7" x14ac:dyDescent="0.35">
      <c r="A172" s="228" t="s">
        <v>1793</v>
      </c>
      <c r="B172" s="228" t="s">
        <v>612</v>
      </c>
      <c r="C172" s="340" t="s">
        <v>82</v>
      </c>
      <c r="D172" s="340" t="s">
        <v>82</v>
      </c>
      <c r="E172" s="243"/>
      <c r="F172" s="340" t="s">
        <v>82</v>
      </c>
      <c r="G172" s="235"/>
    </row>
    <row r="173" spans="1:7" x14ac:dyDescent="0.35">
      <c r="A173" s="228" t="s">
        <v>1794</v>
      </c>
      <c r="B173" s="228" t="s">
        <v>614</v>
      </c>
      <c r="C173" s="340" t="s">
        <v>82</v>
      </c>
      <c r="D173" s="340" t="s">
        <v>82</v>
      </c>
      <c r="E173" s="243"/>
      <c r="F173" s="340" t="s">
        <v>82</v>
      </c>
      <c r="G173" s="235"/>
    </row>
    <row r="174" spans="1:7" x14ac:dyDescent="0.35">
      <c r="A174" s="228" t="s">
        <v>1795</v>
      </c>
      <c r="B174" s="228" t="s">
        <v>143</v>
      </c>
      <c r="C174" s="340" t="s">
        <v>82</v>
      </c>
      <c r="D174" s="340" t="s">
        <v>82</v>
      </c>
      <c r="E174" s="243"/>
      <c r="F174" s="340" t="s">
        <v>82</v>
      </c>
      <c r="G174" s="235"/>
    </row>
    <row r="175" spans="1:7" x14ac:dyDescent="0.35">
      <c r="A175" s="228" t="s">
        <v>1796</v>
      </c>
      <c r="B175" s="339"/>
      <c r="C175" s="340"/>
      <c r="D175" s="340"/>
      <c r="E175" s="243"/>
      <c r="F175" s="340"/>
      <c r="G175" s="235"/>
    </row>
    <row r="176" spans="1:7" x14ac:dyDescent="0.35">
      <c r="A176" s="228" t="s">
        <v>1797</v>
      </c>
      <c r="B176" s="339"/>
      <c r="C176" s="340"/>
      <c r="D176" s="340"/>
      <c r="E176" s="243"/>
      <c r="F176" s="340"/>
      <c r="G176" s="235"/>
    </row>
    <row r="177" spans="1:7" x14ac:dyDescent="0.35">
      <c r="A177" s="228" t="s">
        <v>1798</v>
      </c>
      <c r="B177" s="339"/>
      <c r="C177" s="340"/>
      <c r="D177" s="340"/>
      <c r="E177" s="243"/>
      <c r="F177" s="340"/>
      <c r="G177" s="235"/>
    </row>
    <row r="178" spans="1:7" x14ac:dyDescent="0.35">
      <c r="A178" s="228" t="s">
        <v>1799</v>
      </c>
      <c r="B178" s="339"/>
      <c r="C178" s="340"/>
      <c r="D178" s="340"/>
      <c r="E178" s="243"/>
      <c r="F178" s="340"/>
      <c r="G178" s="235"/>
    </row>
    <row r="179" spans="1:7" x14ac:dyDescent="0.35">
      <c r="A179" s="228" t="s">
        <v>1800</v>
      </c>
      <c r="B179" s="339"/>
      <c r="C179" s="340"/>
      <c r="D179" s="340"/>
      <c r="E179" s="243"/>
      <c r="F179" s="340"/>
      <c r="G179" s="235"/>
    </row>
    <row r="180" spans="1:7" x14ac:dyDescent="0.35">
      <c r="A180" s="228" t="s">
        <v>1801</v>
      </c>
      <c r="B180" s="339"/>
      <c r="C180" s="340"/>
      <c r="D180" s="340"/>
      <c r="E180" s="243"/>
      <c r="F180" s="340"/>
      <c r="G180" s="235"/>
    </row>
    <row r="181" spans="1:7" x14ac:dyDescent="0.35">
      <c r="A181" s="85"/>
      <c r="B181" s="85" t="s">
        <v>622</v>
      </c>
      <c r="C181" s="85" t="s">
        <v>486</v>
      </c>
      <c r="D181" s="85" t="s">
        <v>487</v>
      </c>
      <c r="E181" s="85"/>
      <c r="F181" s="85" t="s">
        <v>454</v>
      </c>
      <c r="G181" s="85"/>
    </row>
    <row r="182" spans="1:7" x14ac:dyDescent="0.35">
      <c r="A182" s="228" t="s">
        <v>1802</v>
      </c>
      <c r="B182" s="228" t="s">
        <v>624</v>
      </c>
      <c r="C182" s="340" t="s">
        <v>82</v>
      </c>
      <c r="D182" s="340" t="s">
        <v>82</v>
      </c>
      <c r="E182" s="243"/>
      <c r="F182" s="340" t="s">
        <v>82</v>
      </c>
      <c r="G182" s="235"/>
    </row>
    <row r="183" spans="1:7" x14ac:dyDescent="0.35">
      <c r="A183" s="228" t="s">
        <v>1803</v>
      </c>
      <c r="B183" s="228" t="s">
        <v>626</v>
      </c>
      <c r="C183" s="340" t="s">
        <v>82</v>
      </c>
      <c r="D183" s="340" t="s">
        <v>82</v>
      </c>
      <c r="E183" s="243"/>
      <c r="F183" s="340" t="s">
        <v>82</v>
      </c>
      <c r="G183" s="235"/>
    </row>
    <row r="184" spans="1:7" x14ac:dyDescent="0.35">
      <c r="A184" s="228" t="s">
        <v>1804</v>
      </c>
      <c r="B184" s="228" t="s">
        <v>143</v>
      </c>
      <c r="C184" s="340" t="s">
        <v>82</v>
      </c>
      <c r="D184" s="340" t="s">
        <v>82</v>
      </c>
      <c r="E184" s="243"/>
      <c r="F184" s="340" t="s">
        <v>82</v>
      </c>
      <c r="G184" s="235"/>
    </row>
    <row r="185" spans="1:7" x14ac:dyDescent="0.35">
      <c r="A185" s="228" t="s">
        <v>1805</v>
      </c>
      <c r="B185" s="339"/>
      <c r="C185" s="339"/>
      <c r="D185" s="339"/>
      <c r="E185" s="226"/>
      <c r="F185" s="339"/>
      <c r="G185" s="235"/>
    </row>
    <row r="186" spans="1:7" x14ac:dyDescent="0.35">
      <c r="A186" s="228" t="s">
        <v>1806</v>
      </c>
      <c r="B186" s="339"/>
      <c r="C186" s="339"/>
      <c r="D186" s="339"/>
      <c r="E186" s="226"/>
      <c r="F186" s="339"/>
      <c r="G186" s="235"/>
    </row>
    <row r="187" spans="1:7" x14ac:dyDescent="0.35">
      <c r="A187" s="228" t="s">
        <v>1807</v>
      </c>
      <c r="B187" s="339"/>
      <c r="C187" s="339"/>
      <c r="D187" s="339"/>
      <c r="E187" s="226"/>
      <c r="F187" s="339"/>
      <c r="G187" s="235"/>
    </row>
    <row r="188" spans="1:7" x14ac:dyDescent="0.35">
      <c r="A188" s="228" t="s">
        <v>1808</v>
      </c>
      <c r="B188" s="339"/>
      <c r="C188" s="339"/>
      <c r="D188" s="339"/>
      <c r="E188" s="226"/>
      <c r="F188" s="339"/>
      <c r="G188" s="235"/>
    </row>
    <row r="189" spans="1:7" x14ac:dyDescent="0.35">
      <c r="A189" s="228" t="s">
        <v>1809</v>
      </c>
      <c r="B189" s="339"/>
      <c r="C189" s="339"/>
      <c r="D189" s="339"/>
      <c r="E189" s="226"/>
      <c r="F189" s="339"/>
      <c r="G189" s="235"/>
    </row>
    <row r="190" spans="1:7" x14ac:dyDescent="0.35">
      <c r="A190" s="228" t="s">
        <v>1810</v>
      </c>
      <c r="B190" s="339"/>
      <c r="C190" s="339"/>
      <c r="D190" s="339"/>
      <c r="E190" s="226"/>
      <c r="F190" s="339"/>
      <c r="G190" s="235"/>
    </row>
    <row r="191" spans="1:7" x14ac:dyDescent="0.35">
      <c r="A191" s="85"/>
      <c r="B191" s="85" t="s">
        <v>634</v>
      </c>
      <c r="C191" s="85" t="s">
        <v>486</v>
      </c>
      <c r="D191" s="85" t="s">
        <v>487</v>
      </c>
      <c r="E191" s="85"/>
      <c r="F191" s="85" t="s">
        <v>454</v>
      </c>
      <c r="G191" s="85"/>
    </row>
    <row r="192" spans="1:7" x14ac:dyDescent="0.35">
      <c r="A192" s="228" t="s">
        <v>1811</v>
      </c>
      <c r="B192" s="236" t="s">
        <v>636</v>
      </c>
      <c r="C192" s="340" t="s">
        <v>82</v>
      </c>
      <c r="D192" s="340" t="s">
        <v>82</v>
      </c>
      <c r="E192" s="243"/>
      <c r="F192" s="340" t="s">
        <v>82</v>
      </c>
      <c r="G192" s="235"/>
    </row>
    <row r="193" spans="1:7" x14ac:dyDescent="0.35">
      <c r="A193" s="228" t="s">
        <v>1812</v>
      </c>
      <c r="B193" s="236" t="s">
        <v>638</v>
      </c>
      <c r="C193" s="340" t="s">
        <v>82</v>
      </c>
      <c r="D193" s="340" t="s">
        <v>82</v>
      </c>
      <c r="E193" s="243"/>
      <c r="F193" s="340" t="s">
        <v>82</v>
      </c>
      <c r="G193" s="235"/>
    </row>
    <row r="194" spans="1:7" x14ac:dyDescent="0.35">
      <c r="A194" s="228" t="s">
        <v>1813</v>
      </c>
      <c r="B194" s="236" t="s">
        <v>640</v>
      </c>
      <c r="C194" s="340" t="s">
        <v>82</v>
      </c>
      <c r="D194" s="340" t="s">
        <v>82</v>
      </c>
      <c r="E194" s="242"/>
      <c r="F194" s="340" t="s">
        <v>82</v>
      </c>
      <c r="G194" s="235"/>
    </row>
    <row r="195" spans="1:7" x14ac:dyDescent="0.35">
      <c r="A195" s="228" t="s">
        <v>1814</v>
      </c>
      <c r="B195" s="236" t="s">
        <v>642</v>
      </c>
      <c r="C195" s="340" t="s">
        <v>82</v>
      </c>
      <c r="D195" s="340" t="s">
        <v>82</v>
      </c>
      <c r="E195" s="242"/>
      <c r="F195" s="340" t="s">
        <v>82</v>
      </c>
      <c r="G195" s="235"/>
    </row>
    <row r="196" spans="1:7" x14ac:dyDescent="0.35">
      <c r="A196" s="228" t="s">
        <v>1815</v>
      </c>
      <c r="B196" s="236" t="s">
        <v>644</v>
      </c>
      <c r="C196" s="340" t="s">
        <v>82</v>
      </c>
      <c r="D196" s="340" t="s">
        <v>82</v>
      </c>
      <c r="E196" s="242"/>
      <c r="F196" s="340" t="s">
        <v>82</v>
      </c>
      <c r="G196" s="235"/>
    </row>
    <row r="197" spans="1:7" x14ac:dyDescent="0.35">
      <c r="A197" s="228" t="s">
        <v>2304</v>
      </c>
      <c r="B197" s="337"/>
      <c r="C197" s="340"/>
      <c r="D197" s="340"/>
      <c r="E197" s="242"/>
      <c r="F197" s="340"/>
      <c r="G197" s="235"/>
    </row>
    <row r="198" spans="1:7" x14ac:dyDescent="0.35">
      <c r="A198" s="264" t="s">
        <v>2305</v>
      </c>
      <c r="B198" s="337"/>
      <c r="C198" s="340"/>
      <c r="D198" s="340"/>
      <c r="E198" s="242"/>
      <c r="F198" s="340"/>
      <c r="G198" s="235"/>
    </row>
    <row r="199" spans="1:7" x14ac:dyDescent="0.35">
      <c r="A199" s="264" t="s">
        <v>2306</v>
      </c>
      <c r="B199" s="359"/>
      <c r="C199" s="340"/>
      <c r="D199" s="340"/>
      <c r="E199" s="242"/>
      <c r="F199" s="340"/>
      <c r="G199" s="235"/>
    </row>
    <row r="200" spans="1:7" x14ac:dyDescent="0.35">
      <c r="A200" s="264" t="s">
        <v>2307</v>
      </c>
      <c r="B200" s="359"/>
      <c r="C200" s="340"/>
      <c r="D200" s="340"/>
      <c r="E200" s="242"/>
      <c r="F200" s="340"/>
      <c r="G200" s="235"/>
    </row>
    <row r="201" spans="1:7" x14ac:dyDescent="0.35">
      <c r="A201" s="85"/>
      <c r="B201" s="85" t="s">
        <v>649</v>
      </c>
      <c r="C201" s="85" t="s">
        <v>486</v>
      </c>
      <c r="D201" s="85" t="s">
        <v>487</v>
      </c>
      <c r="E201" s="85"/>
      <c r="F201" s="85" t="s">
        <v>454</v>
      </c>
      <c r="G201" s="85"/>
    </row>
    <row r="202" spans="1:7" x14ac:dyDescent="0.35">
      <c r="A202" s="228" t="s">
        <v>1816</v>
      </c>
      <c r="B202" s="228" t="s">
        <v>651</v>
      </c>
      <c r="C202" s="340" t="s">
        <v>82</v>
      </c>
      <c r="D202" s="340" t="s">
        <v>82</v>
      </c>
      <c r="E202" s="243"/>
      <c r="F202" s="340" t="s">
        <v>82</v>
      </c>
      <c r="G202" s="235"/>
    </row>
    <row r="203" spans="1:7" x14ac:dyDescent="0.35">
      <c r="A203" s="228" t="s">
        <v>2308</v>
      </c>
      <c r="B203" s="360"/>
      <c r="C203" s="340"/>
      <c r="D203" s="340"/>
      <c r="E203" s="243"/>
      <c r="F203" s="340"/>
      <c r="G203" s="235"/>
    </row>
    <row r="204" spans="1:7" x14ac:dyDescent="0.35">
      <c r="A204" s="264" t="s">
        <v>2309</v>
      </c>
      <c r="B204" s="360"/>
      <c r="C204" s="340"/>
      <c r="D204" s="340"/>
      <c r="E204" s="243"/>
      <c r="F204" s="340"/>
      <c r="G204" s="235"/>
    </row>
    <row r="205" spans="1:7" x14ac:dyDescent="0.35">
      <c r="A205" s="264" t="s">
        <v>2310</v>
      </c>
      <c r="B205" s="360"/>
      <c r="C205" s="340"/>
      <c r="D205" s="340"/>
      <c r="E205" s="243"/>
      <c r="F205" s="340"/>
      <c r="G205" s="235"/>
    </row>
    <row r="206" spans="1:7" x14ac:dyDescent="0.35">
      <c r="A206" s="264" t="s">
        <v>2311</v>
      </c>
      <c r="B206" s="360"/>
      <c r="C206" s="340"/>
      <c r="D206" s="340"/>
      <c r="E206" s="243"/>
      <c r="F206" s="340"/>
      <c r="G206" s="235"/>
    </row>
    <row r="207" spans="1:7" x14ac:dyDescent="0.35">
      <c r="A207" s="264" t="s">
        <v>2312</v>
      </c>
      <c r="B207" s="333"/>
      <c r="C207" s="333"/>
      <c r="D207" s="333"/>
      <c r="E207" s="235"/>
      <c r="F207" s="333"/>
      <c r="G207" s="235"/>
    </row>
    <row r="208" spans="1:7" x14ac:dyDescent="0.35">
      <c r="A208" s="264" t="s">
        <v>2313</v>
      </c>
      <c r="B208" s="333"/>
      <c r="C208" s="333"/>
      <c r="D208" s="333"/>
      <c r="E208" s="235"/>
      <c r="F208" s="333"/>
      <c r="G208" s="235"/>
    </row>
    <row r="209" spans="1:7" x14ac:dyDescent="0.35">
      <c r="A209" s="264" t="s">
        <v>2314</v>
      </c>
      <c r="B209" s="333"/>
      <c r="C209" s="333"/>
      <c r="D209" s="333"/>
      <c r="E209" s="235"/>
      <c r="F209" s="333"/>
      <c r="G209" s="235"/>
    </row>
    <row r="210" spans="1:7" ht="18.5" x14ac:dyDescent="0.35">
      <c r="A210" s="169"/>
      <c r="B210" s="255" t="s">
        <v>1635</v>
      </c>
      <c r="C210" s="254"/>
      <c r="D210" s="254"/>
      <c r="E210" s="254"/>
      <c r="F210" s="254"/>
      <c r="G210" s="254"/>
    </row>
    <row r="211" spans="1:7" x14ac:dyDescent="0.35">
      <c r="A211" s="85"/>
      <c r="B211" s="85" t="s">
        <v>655</v>
      </c>
      <c r="C211" s="85" t="s">
        <v>656</v>
      </c>
      <c r="D211" s="85" t="s">
        <v>657</v>
      </c>
      <c r="E211" s="85"/>
      <c r="F211" s="85" t="s">
        <v>486</v>
      </c>
      <c r="G211" s="85" t="s">
        <v>658</v>
      </c>
    </row>
    <row r="212" spans="1:7" x14ac:dyDescent="0.35">
      <c r="A212" s="228" t="s">
        <v>1817</v>
      </c>
      <c r="B212" s="235" t="s">
        <v>660</v>
      </c>
      <c r="C212" s="334" t="s">
        <v>82</v>
      </c>
      <c r="D212" s="228"/>
      <c r="E212" s="237"/>
      <c r="F212" s="238"/>
      <c r="G212" s="238"/>
    </row>
    <row r="213" spans="1:7" x14ac:dyDescent="0.35">
      <c r="A213" s="237"/>
      <c r="B213" s="239"/>
      <c r="C213" s="237"/>
      <c r="D213" s="237"/>
      <c r="E213" s="237"/>
      <c r="F213" s="238"/>
      <c r="G213" s="238"/>
    </row>
    <row r="214" spans="1:7" x14ac:dyDescent="0.35">
      <c r="A214" s="228"/>
      <c r="B214" s="235" t="s">
        <v>661</v>
      </c>
      <c r="C214" s="237"/>
      <c r="D214" s="237"/>
      <c r="E214" s="237"/>
      <c r="F214" s="238"/>
      <c r="G214" s="238"/>
    </row>
    <row r="215" spans="1:7" x14ac:dyDescent="0.35">
      <c r="A215" s="228" t="s">
        <v>1818</v>
      </c>
      <c r="B215" s="333" t="s">
        <v>579</v>
      </c>
      <c r="C215" s="334" t="s">
        <v>82</v>
      </c>
      <c r="D215" s="341" t="s">
        <v>82</v>
      </c>
      <c r="E215" s="237"/>
      <c r="F215" s="244" t="str">
        <f>IF($C$239=0,"",IF(C215="[for completion]","",IF(C215="","",C215/$C$239)))</f>
        <v/>
      </c>
      <c r="G215" s="244" t="str">
        <f>IF($D$239=0,"",IF(D215="[for completion]","",IF(D215="","",D215/$D$239)))</f>
        <v/>
      </c>
    </row>
    <row r="216" spans="1:7" x14ac:dyDescent="0.35">
      <c r="A216" s="228" t="s">
        <v>1819</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35">
      <c r="A217" s="228" t="s">
        <v>1820</v>
      </c>
      <c r="B217" s="333" t="s">
        <v>579</v>
      </c>
      <c r="C217" s="334" t="s">
        <v>82</v>
      </c>
      <c r="D217" s="341" t="s">
        <v>82</v>
      </c>
      <c r="E217" s="237"/>
      <c r="F217" s="244" t="str">
        <f t="shared" si="1"/>
        <v/>
      </c>
      <c r="G217" s="244" t="str">
        <f t="shared" si="2"/>
        <v/>
      </c>
    </row>
    <row r="218" spans="1:7" x14ac:dyDescent="0.35">
      <c r="A218" s="228" t="s">
        <v>1821</v>
      </c>
      <c r="B218" s="333" t="s">
        <v>579</v>
      </c>
      <c r="C218" s="334" t="s">
        <v>82</v>
      </c>
      <c r="D218" s="341" t="s">
        <v>82</v>
      </c>
      <c r="E218" s="237"/>
      <c r="F218" s="244" t="str">
        <f t="shared" si="1"/>
        <v/>
      </c>
      <c r="G218" s="244" t="str">
        <f t="shared" si="2"/>
        <v/>
      </c>
    </row>
    <row r="219" spans="1:7" x14ac:dyDescent="0.35">
      <c r="A219" s="228" t="s">
        <v>1822</v>
      </c>
      <c r="B219" s="333" t="s">
        <v>579</v>
      </c>
      <c r="C219" s="334" t="s">
        <v>82</v>
      </c>
      <c r="D219" s="341" t="s">
        <v>82</v>
      </c>
      <c r="E219" s="237"/>
      <c r="F219" s="244" t="str">
        <f t="shared" si="1"/>
        <v/>
      </c>
      <c r="G219" s="244" t="str">
        <f t="shared" si="2"/>
        <v/>
      </c>
    </row>
    <row r="220" spans="1:7" x14ac:dyDescent="0.35">
      <c r="A220" s="228" t="s">
        <v>1823</v>
      </c>
      <c r="B220" s="333" t="s">
        <v>579</v>
      </c>
      <c r="C220" s="334" t="s">
        <v>82</v>
      </c>
      <c r="D220" s="341" t="s">
        <v>82</v>
      </c>
      <c r="E220" s="237"/>
      <c r="F220" s="244" t="str">
        <f t="shared" si="1"/>
        <v/>
      </c>
      <c r="G220" s="244" t="str">
        <f t="shared" si="2"/>
        <v/>
      </c>
    </row>
    <row r="221" spans="1:7" x14ac:dyDescent="0.35">
      <c r="A221" s="228" t="s">
        <v>1824</v>
      </c>
      <c r="B221" s="333" t="s">
        <v>579</v>
      </c>
      <c r="C221" s="334" t="s">
        <v>82</v>
      </c>
      <c r="D221" s="341" t="s">
        <v>82</v>
      </c>
      <c r="E221" s="237"/>
      <c r="F221" s="244" t="str">
        <f t="shared" si="1"/>
        <v/>
      </c>
      <c r="G221" s="244" t="str">
        <f t="shared" si="2"/>
        <v/>
      </c>
    </row>
    <row r="222" spans="1:7" x14ac:dyDescent="0.35">
      <c r="A222" s="228" t="s">
        <v>1825</v>
      </c>
      <c r="B222" s="333" t="s">
        <v>579</v>
      </c>
      <c r="C222" s="334" t="s">
        <v>82</v>
      </c>
      <c r="D222" s="341" t="s">
        <v>82</v>
      </c>
      <c r="E222" s="237"/>
      <c r="F222" s="244" t="str">
        <f t="shared" si="1"/>
        <v/>
      </c>
      <c r="G222" s="244" t="str">
        <f t="shared" si="2"/>
        <v/>
      </c>
    </row>
    <row r="223" spans="1:7" x14ac:dyDescent="0.35">
      <c r="A223" s="228" t="s">
        <v>1826</v>
      </c>
      <c r="B223" s="333" t="s">
        <v>579</v>
      </c>
      <c r="C223" s="334" t="s">
        <v>82</v>
      </c>
      <c r="D223" s="341" t="s">
        <v>82</v>
      </c>
      <c r="E223" s="237"/>
      <c r="F223" s="244" t="str">
        <f t="shared" si="1"/>
        <v/>
      </c>
      <c r="G223" s="244" t="str">
        <f t="shared" si="2"/>
        <v/>
      </c>
    </row>
    <row r="224" spans="1:7" x14ac:dyDescent="0.35">
      <c r="A224" s="228" t="s">
        <v>1827</v>
      </c>
      <c r="B224" s="333" t="s">
        <v>579</v>
      </c>
      <c r="C224" s="334" t="s">
        <v>82</v>
      </c>
      <c r="D224" s="341" t="s">
        <v>82</v>
      </c>
      <c r="E224" s="235"/>
      <c r="F224" s="244" t="str">
        <f t="shared" si="1"/>
        <v/>
      </c>
      <c r="G224" s="244" t="str">
        <f t="shared" si="2"/>
        <v/>
      </c>
    </row>
    <row r="225" spans="1:7" x14ac:dyDescent="0.35">
      <c r="A225" s="228" t="s">
        <v>1828</v>
      </c>
      <c r="B225" s="333" t="s">
        <v>579</v>
      </c>
      <c r="C225" s="334" t="s">
        <v>82</v>
      </c>
      <c r="D225" s="341" t="s">
        <v>82</v>
      </c>
      <c r="E225" s="235"/>
      <c r="F225" s="244" t="str">
        <f t="shared" si="1"/>
        <v/>
      </c>
      <c r="G225" s="244" t="str">
        <f t="shared" si="2"/>
        <v/>
      </c>
    </row>
    <row r="226" spans="1:7" x14ac:dyDescent="0.35">
      <c r="A226" s="228" t="s">
        <v>1829</v>
      </c>
      <c r="B226" s="333" t="s">
        <v>579</v>
      </c>
      <c r="C226" s="334" t="s">
        <v>82</v>
      </c>
      <c r="D226" s="341" t="s">
        <v>82</v>
      </c>
      <c r="E226" s="235"/>
      <c r="F226" s="244" t="str">
        <f t="shared" si="1"/>
        <v/>
      </c>
      <c r="G226" s="244" t="str">
        <f t="shared" si="2"/>
        <v/>
      </c>
    </row>
    <row r="227" spans="1:7" x14ac:dyDescent="0.35">
      <c r="A227" s="228" t="s">
        <v>1830</v>
      </c>
      <c r="B227" s="333" t="s">
        <v>579</v>
      </c>
      <c r="C227" s="334" t="s">
        <v>82</v>
      </c>
      <c r="D227" s="341" t="s">
        <v>82</v>
      </c>
      <c r="E227" s="235"/>
      <c r="F227" s="244" t="str">
        <f t="shared" si="1"/>
        <v/>
      </c>
      <c r="G227" s="244" t="str">
        <f t="shared" si="2"/>
        <v/>
      </c>
    </row>
    <row r="228" spans="1:7" x14ac:dyDescent="0.35">
      <c r="A228" s="228" t="s">
        <v>1831</v>
      </c>
      <c r="B228" s="333" t="s">
        <v>579</v>
      </c>
      <c r="C228" s="334" t="s">
        <v>82</v>
      </c>
      <c r="D228" s="341" t="s">
        <v>82</v>
      </c>
      <c r="E228" s="235"/>
      <c r="F228" s="244" t="str">
        <f t="shared" si="1"/>
        <v/>
      </c>
      <c r="G228" s="244" t="str">
        <f t="shared" si="2"/>
        <v/>
      </c>
    </row>
    <row r="229" spans="1:7" x14ac:dyDescent="0.35">
      <c r="A229" s="228" t="s">
        <v>1832</v>
      </c>
      <c r="B229" s="333" t="s">
        <v>579</v>
      </c>
      <c r="C229" s="334" t="s">
        <v>82</v>
      </c>
      <c r="D229" s="341" t="s">
        <v>82</v>
      </c>
      <c r="E229" s="235"/>
      <c r="F229" s="244" t="str">
        <f t="shared" si="1"/>
        <v/>
      </c>
      <c r="G229" s="244" t="str">
        <f t="shared" si="2"/>
        <v/>
      </c>
    </row>
    <row r="230" spans="1:7" x14ac:dyDescent="0.35">
      <c r="A230" s="228" t="s">
        <v>1833</v>
      </c>
      <c r="B230" s="333" t="s">
        <v>579</v>
      </c>
      <c r="C230" s="334" t="s">
        <v>82</v>
      </c>
      <c r="D230" s="341" t="s">
        <v>82</v>
      </c>
      <c r="E230" s="228"/>
      <c r="F230" s="244" t="str">
        <f t="shared" si="1"/>
        <v/>
      </c>
      <c r="G230" s="244" t="str">
        <f t="shared" si="2"/>
        <v/>
      </c>
    </row>
    <row r="231" spans="1:7" x14ac:dyDescent="0.35">
      <c r="A231" s="228" t="s">
        <v>1834</v>
      </c>
      <c r="B231" s="333" t="s">
        <v>579</v>
      </c>
      <c r="C231" s="334" t="s">
        <v>82</v>
      </c>
      <c r="D231" s="341" t="s">
        <v>82</v>
      </c>
      <c r="E231" s="231"/>
      <c r="F231" s="244" t="str">
        <f t="shared" si="1"/>
        <v/>
      </c>
      <c r="G231" s="244" t="str">
        <f t="shared" si="2"/>
        <v/>
      </c>
    </row>
    <row r="232" spans="1:7" x14ac:dyDescent="0.35">
      <c r="A232" s="228" t="s">
        <v>1835</v>
      </c>
      <c r="B232" s="333" t="s">
        <v>579</v>
      </c>
      <c r="C232" s="334" t="s">
        <v>82</v>
      </c>
      <c r="D232" s="341" t="s">
        <v>82</v>
      </c>
      <c r="E232" s="231"/>
      <c r="F232" s="244" t="str">
        <f t="shared" si="1"/>
        <v/>
      </c>
      <c r="G232" s="244" t="str">
        <f t="shared" si="2"/>
        <v/>
      </c>
    </row>
    <row r="233" spans="1:7" x14ac:dyDescent="0.35">
      <c r="A233" s="228" t="s">
        <v>1836</v>
      </c>
      <c r="B233" s="333" t="s">
        <v>579</v>
      </c>
      <c r="C233" s="334" t="s">
        <v>82</v>
      </c>
      <c r="D233" s="341" t="s">
        <v>82</v>
      </c>
      <c r="E233" s="231"/>
      <c r="F233" s="244" t="str">
        <f t="shared" si="1"/>
        <v/>
      </c>
      <c r="G233" s="244" t="str">
        <f t="shared" si="2"/>
        <v/>
      </c>
    </row>
    <row r="234" spans="1:7" x14ac:dyDescent="0.35">
      <c r="A234" s="228" t="s">
        <v>1837</v>
      </c>
      <c r="B234" s="333" t="s">
        <v>579</v>
      </c>
      <c r="C234" s="334" t="s">
        <v>82</v>
      </c>
      <c r="D234" s="341" t="s">
        <v>82</v>
      </c>
      <c r="E234" s="231"/>
      <c r="F234" s="244" t="str">
        <f t="shared" si="1"/>
        <v/>
      </c>
      <c r="G234" s="244" t="str">
        <f t="shared" si="2"/>
        <v/>
      </c>
    </row>
    <row r="235" spans="1:7" x14ac:dyDescent="0.35">
      <c r="A235" s="228" t="s">
        <v>1838</v>
      </c>
      <c r="B235" s="333" t="s">
        <v>579</v>
      </c>
      <c r="C235" s="334" t="s">
        <v>82</v>
      </c>
      <c r="D235" s="341" t="s">
        <v>82</v>
      </c>
      <c r="E235" s="231"/>
      <c r="F235" s="244" t="str">
        <f t="shared" si="1"/>
        <v/>
      </c>
      <c r="G235" s="244" t="str">
        <f t="shared" si="2"/>
        <v/>
      </c>
    </row>
    <row r="236" spans="1:7" x14ac:dyDescent="0.35">
      <c r="A236" s="228" t="s">
        <v>1839</v>
      </c>
      <c r="B236" s="333" t="s">
        <v>579</v>
      </c>
      <c r="C236" s="334" t="s">
        <v>82</v>
      </c>
      <c r="D236" s="341" t="s">
        <v>82</v>
      </c>
      <c r="E236" s="231"/>
      <c r="F236" s="244" t="str">
        <f t="shared" si="1"/>
        <v/>
      </c>
      <c r="G236" s="244" t="str">
        <f t="shared" si="2"/>
        <v/>
      </c>
    </row>
    <row r="237" spans="1:7" x14ac:dyDescent="0.35">
      <c r="A237" s="228" t="s">
        <v>1840</v>
      </c>
      <c r="B237" s="333" t="s">
        <v>579</v>
      </c>
      <c r="C237" s="334" t="s">
        <v>82</v>
      </c>
      <c r="D237" s="341" t="s">
        <v>82</v>
      </c>
      <c r="E237" s="231"/>
      <c r="F237" s="244" t="str">
        <f t="shared" si="1"/>
        <v/>
      </c>
      <c r="G237" s="244" t="str">
        <f t="shared" si="2"/>
        <v/>
      </c>
    </row>
    <row r="238" spans="1:7" x14ac:dyDescent="0.35">
      <c r="A238" s="228" t="s">
        <v>1841</v>
      </c>
      <c r="B238" s="333" t="s">
        <v>579</v>
      </c>
      <c r="C238" s="334" t="s">
        <v>82</v>
      </c>
      <c r="D238" s="341" t="s">
        <v>82</v>
      </c>
      <c r="E238" s="231"/>
      <c r="F238" s="244" t="str">
        <f t="shared" si="1"/>
        <v/>
      </c>
      <c r="G238" s="244" t="str">
        <f t="shared" si="2"/>
        <v/>
      </c>
    </row>
    <row r="239" spans="1:7" x14ac:dyDescent="0.35">
      <c r="A239" s="228" t="s">
        <v>1842</v>
      </c>
      <c r="B239" s="240" t="s">
        <v>145</v>
      </c>
      <c r="C239" s="250">
        <f>SUM(C215:C238)</f>
        <v>0</v>
      </c>
      <c r="D239" s="248">
        <f>SUM(D215:D238)</f>
        <v>0</v>
      </c>
      <c r="E239" s="231"/>
      <c r="F239" s="249">
        <f>SUM(F215:F238)</f>
        <v>0</v>
      </c>
      <c r="G239" s="249">
        <f>SUM(G215:G238)</f>
        <v>0</v>
      </c>
    </row>
    <row r="240" spans="1:7" x14ac:dyDescent="0.35">
      <c r="A240" s="85"/>
      <c r="B240" s="85" t="s">
        <v>687</v>
      </c>
      <c r="C240" s="85" t="s">
        <v>656</v>
      </c>
      <c r="D240" s="85" t="s">
        <v>657</v>
      </c>
      <c r="E240" s="85"/>
      <c r="F240" s="85" t="s">
        <v>486</v>
      </c>
      <c r="G240" s="85" t="s">
        <v>658</v>
      </c>
    </row>
    <row r="241" spans="1:7" x14ac:dyDescent="0.35">
      <c r="A241" s="228" t="s">
        <v>1843</v>
      </c>
      <c r="B241" s="228" t="s">
        <v>689</v>
      </c>
      <c r="C241" s="340" t="s">
        <v>82</v>
      </c>
      <c r="D241" s="228"/>
      <c r="E241" s="228"/>
      <c r="F241" s="246"/>
      <c r="G241" s="246"/>
    </row>
    <row r="242" spans="1:7" x14ac:dyDescent="0.35">
      <c r="A242" s="228"/>
      <c r="B242" s="228"/>
      <c r="C242" s="228"/>
      <c r="D242" s="228"/>
      <c r="E242" s="228"/>
      <c r="F242" s="246"/>
      <c r="G242" s="246"/>
    </row>
    <row r="243" spans="1:7" x14ac:dyDescent="0.35">
      <c r="A243" s="228"/>
      <c r="B243" s="235" t="s">
        <v>690</v>
      </c>
      <c r="C243" s="228"/>
      <c r="D243" s="228"/>
      <c r="E243" s="228"/>
      <c r="F243" s="246"/>
      <c r="G243" s="246"/>
    </row>
    <row r="244" spans="1:7" x14ac:dyDescent="0.35">
      <c r="A244" s="228" t="s">
        <v>1844</v>
      </c>
      <c r="B244" s="228" t="s">
        <v>692</v>
      </c>
      <c r="C244" s="334" t="s">
        <v>82</v>
      </c>
      <c r="D244" s="341" t="s">
        <v>82</v>
      </c>
      <c r="E244" s="228"/>
      <c r="F244" s="244" t="str">
        <f>IF($C$252=0,"",IF(C244="[for completion]","",IF(C244="","",C244/$C$252)))</f>
        <v/>
      </c>
      <c r="G244" s="244" t="str">
        <f>IF($D$252=0,"",IF(D244="[for completion]","",IF(D244="","",D244/$D$252)))</f>
        <v/>
      </c>
    </row>
    <row r="245" spans="1:7" x14ac:dyDescent="0.35">
      <c r="A245" s="228" t="s">
        <v>1845</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35">
      <c r="A246" s="228" t="s">
        <v>1846</v>
      </c>
      <c r="B246" s="228" t="s">
        <v>696</v>
      </c>
      <c r="C246" s="334" t="s">
        <v>82</v>
      </c>
      <c r="D246" s="341" t="s">
        <v>82</v>
      </c>
      <c r="E246" s="228"/>
      <c r="F246" s="244" t="str">
        <f t="shared" si="3"/>
        <v/>
      </c>
      <c r="G246" s="244" t="str">
        <f t="shared" si="4"/>
        <v/>
      </c>
    </row>
    <row r="247" spans="1:7" x14ac:dyDescent="0.35">
      <c r="A247" s="228" t="s">
        <v>1847</v>
      </c>
      <c r="B247" s="228" t="s">
        <v>698</v>
      </c>
      <c r="C247" s="334" t="s">
        <v>82</v>
      </c>
      <c r="D247" s="341" t="s">
        <v>82</v>
      </c>
      <c r="E247" s="228"/>
      <c r="F247" s="244" t="str">
        <f t="shared" si="3"/>
        <v/>
      </c>
      <c r="G247" s="244" t="str">
        <f t="shared" si="4"/>
        <v/>
      </c>
    </row>
    <row r="248" spans="1:7" x14ac:dyDescent="0.35">
      <c r="A248" s="228" t="s">
        <v>1848</v>
      </c>
      <c r="B248" s="228" t="s">
        <v>700</v>
      </c>
      <c r="C248" s="334" t="s">
        <v>82</v>
      </c>
      <c r="D248" s="341" t="s">
        <v>82</v>
      </c>
      <c r="E248" s="228"/>
      <c r="F248" s="244" t="str">
        <f>IF($C$252=0,"",IF(C248="[for completion]","",IF(C248="","",C248/$C$252)))</f>
        <v/>
      </c>
      <c r="G248" s="244" t="str">
        <f t="shared" si="4"/>
        <v/>
      </c>
    </row>
    <row r="249" spans="1:7" x14ac:dyDescent="0.35">
      <c r="A249" s="228" t="s">
        <v>1849</v>
      </c>
      <c r="B249" s="228" t="s">
        <v>702</v>
      </c>
      <c r="C249" s="334" t="s">
        <v>82</v>
      </c>
      <c r="D249" s="341" t="s">
        <v>82</v>
      </c>
      <c r="E249" s="228"/>
      <c r="F249" s="244" t="str">
        <f t="shared" si="3"/>
        <v/>
      </c>
      <c r="G249" s="244" t="str">
        <f t="shared" si="4"/>
        <v/>
      </c>
    </row>
    <row r="250" spans="1:7" x14ac:dyDescent="0.35">
      <c r="A250" s="228" t="s">
        <v>1850</v>
      </c>
      <c r="B250" s="228" t="s">
        <v>704</v>
      </c>
      <c r="C250" s="334" t="s">
        <v>82</v>
      </c>
      <c r="D250" s="341" t="s">
        <v>82</v>
      </c>
      <c r="E250" s="228"/>
      <c r="F250" s="244" t="str">
        <f t="shared" si="3"/>
        <v/>
      </c>
      <c r="G250" s="244" t="str">
        <f t="shared" si="4"/>
        <v/>
      </c>
    </row>
    <row r="251" spans="1:7" x14ac:dyDescent="0.35">
      <c r="A251" s="228" t="s">
        <v>1851</v>
      </c>
      <c r="B251" s="228" t="s">
        <v>706</v>
      </c>
      <c r="C251" s="334" t="s">
        <v>82</v>
      </c>
      <c r="D251" s="341" t="s">
        <v>82</v>
      </c>
      <c r="E251" s="228"/>
      <c r="F251" s="244" t="str">
        <f t="shared" si="3"/>
        <v/>
      </c>
      <c r="G251" s="244" t="str">
        <f t="shared" si="4"/>
        <v/>
      </c>
    </row>
    <row r="252" spans="1:7" x14ac:dyDescent="0.35">
      <c r="A252" s="228" t="s">
        <v>1852</v>
      </c>
      <c r="B252" s="240" t="s">
        <v>145</v>
      </c>
      <c r="C252" s="245">
        <f>SUM(C244:C251)</f>
        <v>0</v>
      </c>
      <c r="D252" s="247">
        <f>SUM(D244:D251)</f>
        <v>0</v>
      </c>
      <c r="E252" s="228"/>
      <c r="F252" s="249">
        <f>SUM(F241:F251)</f>
        <v>0</v>
      </c>
      <c r="G252" s="249">
        <f>SUM(G241:G251)</f>
        <v>0</v>
      </c>
    </row>
    <row r="253" spans="1:7" x14ac:dyDescent="0.35">
      <c r="A253" s="228" t="s">
        <v>1853</v>
      </c>
      <c r="B253" s="232" t="s">
        <v>709</v>
      </c>
      <c r="C253" s="334"/>
      <c r="D253" s="341"/>
      <c r="E253" s="228"/>
      <c r="F253" s="244" t="s">
        <v>1656</v>
      </c>
      <c r="G253" s="244" t="s">
        <v>1656</v>
      </c>
    </row>
    <row r="254" spans="1:7" x14ac:dyDescent="0.35">
      <c r="A254" s="228" t="s">
        <v>1854</v>
      </c>
      <c r="B254" s="232" t="s">
        <v>711</v>
      </c>
      <c r="C254" s="334"/>
      <c r="D254" s="341"/>
      <c r="E254" s="228"/>
      <c r="F254" s="244" t="s">
        <v>1656</v>
      </c>
      <c r="G254" s="244" t="s">
        <v>1656</v>
      </c>
    </row>
    <row r="255" spans="1:7" x14ac:dyDescent="0.35">
      <c r="A255" s="228" t="s">
        <v>1855</v>
      </c>
      <c r="B255" s="232" t="s">
        <v>713</v>
      </c>
      <c r="C255" s="334"/>
      <c r="D255" s="341"/>
      <c r="E255" s="228"/>
      <c r="F255" s="244" t="s">
        <v>1656</v>
      </c>
      <c r="G255" s="244" t="s">
        <v>1656</v>
      </c>
    </row>
    <row r="256" spans="1:7" x14ac:dyDescent="0.35">
      <c r="A256" s="228" t="s">
        <v>1856</v>
      </c>
      <c r="B256" s="232" t="s">
        <v>715</v>
      </c>
      <c r="C256" s="334"/>
      <c r="D256" s="341"/>
      <c r="E256" s="228"/>
      <c r="F256" s="244" t="s">
        <v>1656</v>
      </c>
      <c r="G256" s="244" t="s">
        <v>1656</v>
      </c>
    </row>
    <row r="257" spans="1:7" x14ac:dyDescent="0.35">
      <c r="A257" s="228" t="s">
        <v>1857</v>
      </c>
      <c r="B257" s="232" t="s">
        <v>717</v>
      </c>
      <c r="C257" s="334"/>
      <c r="D257" s="341"/>
      <c r="E257" s="228"/>
      <c r="F257" s="244" t="s">
        <v>1656</v>
      </c>
      <c r="G257" s="244" t="s">
        <v>1656</v>
      </c>
    </row>
    <row r="258" spans="1:7" x14ac:dyDescent="0.35">
      <c r="A258" s="228" t="s">
        <v>1858</v>
      </c>
      <c r="B258" s="232" t="s">
        <v>719</v>
      </c>
      <c r="C258" s="334"/>
      <c r="D258" s="341"/>
      <c r="E258" s="228"/>
      <c r="F258" s="244" t="s">
        <v>1656</v>
      </c>
      <c r="G258" s="244" t="s">
        <v>1656</v>
      </c>
    </row>
    <row r="259" spans="1:7" x14ac:dyDescent="0.35">
      <c r="A259" s="228" t="s">
        <v>1859</v>
      </c>
      <c r="B259" s="232"/>
      <c r="C259" s="228"/>
      <c r="D259" s="228"/>
      <c r="E259" s="228"/>
      <c r="F259" s="244"/>
      <c r="G259" s="244"/>
    </row>
    <row r="260" spans="1:7" x14ac:dyDescent="0.35">
      <c r="A260" s="228" t="s">
        <v>1860</v>
      </c>
      <c r="B260" s="232"/>
      <c r="C260" s="228"/>
      <c r="D260" s="228"/>
      <c r="E260" s="228"/>
      <c r="F260" s="244"/>
      <c r="G260" s="244"/>
    </row>
    <row r="261" spans="1:7" x14ac:dyDescent="0.35">
      <c r="A261" s="228" t="s">
        <v>1861</v>
      </c>
      <c r="B261" s="232"/>
      <c r="C261" s="228"/>
      <c r="D261" s="228"/>
      <c r="E261" s="228"/>
      <c r="F261" s="244"/>
      <c r="G261" s="244"/>
    </row>
    <row r="262" spans="1:7" x14ac:dyDescent="0.35">
      <c r="A262" s="85"/>
      <c r="B262" s="85" t="s">
        <v>723</v>
      </c>
      <c r="C262" s="85" t="s">
        <v>656</v>
      </c>
      <c r="D262" s="85" t="s">
        <v>657</v>
      </c>
      <c r="E262" s="85"/>
      <c r="F262" s="85" t="s">
        <v>486</v>
      </c>
      <c r="G262" s="85" t="s">
        <v>658</v>
      </c>
    </row>
    <row r="263" spans="1:7" x14ac:dyDescent="0.35">
      <c r="A263" s="228" t="s">
        <v>1862</v>
      </c>
      <c r="B263" s="228" t="s">
        <v>689</v>
      </c>
      <c r="C263" s="340" t="s">
        <v>117</v>
      </c>
      <c r="D263" s="228"/>
      <c r="E263" s="228"/>
      <c r="F263" s="246"/>
      <c r="G263" s="246"/>
    </row>
    <row r="264" spans="1:7" x14ac:dyDescent="0.35">
      <c r="A264" s="228"/>
      <c r="B264" s="228"/>
      <c r="C264" s="228"/>
      <c r="D264" s="228"/>
      <c r="E264" s="228"/>
      <c r="F264" s="246"/>
      <c r="G264" s="246"/>
    </row>
    <row r="265" spans="1:7" x14ac:dyDescent="0.35">
      <c r="A265" s="228"/>
      <c r="B265" s="235" t="s">
        <v>690</v>
      </c>
      <c r="C265" s="228"/>
      <c r="D265" s="228"/>
      <c r="E265" s="228"/>
      <c r="F265" s="246"/>
      <c r="G265" s="246"/>
    </row>
    <row r="266" spans="1:7" x14ac:dyDescent="0.35">
      <c r="A266" s="228" t="s">
        <v>1863</v>
      </c>
      <c r="B266" s="228" t="s">
        <v>692</v>
      </c>
      <c r="C266" s="334" t="s">
        <v>117</v>
      </c>
      <c r="D266" s="341" t="s">
        <v>117</v>
      </c>
      <c r="E266" s="228"/>
      <c r="F266" s="244" t="str">
        <f>IF($C$274=0,"",IF(C266="[for completion]","",IF(C266="","",C266/$C$274)))</f>
        <v/>
      </c>
      <c r="G266" s="244" t="str">
        <f>IF($D$274=0,"",IF(D266="[for completion]","",IF(D266="","",D266/$D$274)))</f>
        <v/>
      </c>
    </row>
    <row r="267" spans="1:7" x14ac:dyDescent="0.35">
      <c r="A267" s="228" t="s">
        <v>1864</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35">
      <c r="A268" s="228" t="s">
        <v>1865</v>
      </c>
      <c r="B268" s="228" t="s">
        <v>696</v>
      </c>
      <c r="C268" s="334" t="s">
        <v>117</v>
      </c>
      <c r="D268" s="341" t="s">
        <v>117</v>
      </c>
      <c r="E268" s="228"/>
      <c r="F268" s="244" t="str">
        <f t="shared" si="5"/>
        <v/>
      </c>
      <c r="G268" s="244" t="str">
        <f t="shared" si="6"/>
        <v/>
      </c>
    </row>
    <row r="269" spans="1:7" x14ac:dyDescent="0.35">
      <c r="A269" s="228" t="s">
        <v>1866</v>
      </c>
      <c r="B269" s="228" t="s">
        <v>698</v>
      </c>
      <c r="C269" s="334" t="s">
        <v>117</v>
      </c>
      <c r="D269" s="341" t="s">
        <v>117</v>
      </c>
      <c r="E269" s="228"/>
      <c r="F269" s="244" t="str">
        <f t="shared" si="5"/>
        <v/>
      </c>
      <c r="G269" s="244" t="str">
        <f t="shared" si="6"/>
        <v/>
      </c>
    </row>
    <row r="270" spans="1:7" x14ac:dyDescent="0.35">
      <c r="A270" s="228" t="s">
        <v>1867</v>
      </c>
      <c r="B270" s="228" t="s">
        <v>700</v>
      </c>
      <c r="C270" s="334" t="s">
        <v>117</v>
      </c>
      <c r="D270" s="341" t="s">
        <v>117</v>
      </c>
      <c r="E270" s="228"/>
      <c r="F270" s="244" t="str">
        <f t="shared" si="5"/>
        <v/>
      </c>
      <c r="G270" s="244" t="str">
        <f t="shared" si="6"/>
        <v/>
      </c>
    </row>
    <row r="271" spans="1:7" x14ac:dyDescent="0.35">
      <c r="A271" s="228" t="s">
        <v>1868</v>
      </c>
      <c r="B271" s="228" t="s">
        <v>702</v>
      </c>
      <c r="C271" s="334" t="s">
        <v>117</v>
      </c>
      <c r="D271" s="341" t="s">
        <v>117</v>
      </c>
      <c r="E271" s="228"/>
      <c r="F271" s="244" t="str">
        <f t="shared" si="5"/>
        <v/>
      </c>
      <c r="G271" s="244" t="str">
        <f t="shared" si="6"/>
        <v/>
      </c>
    </row>
    <row r="272" spans="1:7" x14ac:dyDescent="0.35">
      <c r="A272" s="228" t="s">
        <v>1869</v>
      </c>
      <c r="B272" s="228" t="s">
        <v>704</v>
      </c>
      <c r="C272" s="334" t="s">
        <v>117</v>
      </c>
      <c r="D272" s="341" t="s">
        <v>117</v>
      </c>
      <c r="E272" s="228"/>
      <c r="F272" s="244" t="str">
        <f t="shared" si="5"/>
        <v/>
      </c>
      <c r="G272" s="244" t="str">
        <f t="shared" si="6"/>
        <v/>
      </c>
    </row>
    <row r="273" spans="1:7" x14ac:dyDescent="0.35">
      <c r="A273" s="228" t="s">
        <v>1870</v>
      </c>
      <c r="B273" s="228" t="s">
        <v>706</v>
      </c>
      <c r="C273" s="334" t="s">
        <v>117</v>
      </c>
      <c r="D273" s="341" t="s">
        <v>117</v>
      </c>
      <c r="E273" s="228"/>
      <c r="F273" s="244" t="str">
        <f t="shared" si="5"/>
        <v/>
      </c>
      <c r="G273" s="244" t="str">
        <f t="shared" si="6"/>
        <v/>
      </c>
    </row>
    <row r="274" spans="1:7" x14ac:dyDescent="0.35">
      <c r="A274" s="228" t="s">
        <v>1871</v>
      </c>
      <c r="B274" s="240" t="s">
        <v>145</v>
      </c>
      <c r="C274" s="245">
        <f>SUM(C266:C273)</f>
        <v>0</v>
      </c>
      <c r="D274" s="247">
        <f>SUM(D266:D273)</f>
        <v>0</v>
      </c>
      <c r="E274" s="228"/>
      <c r="F274" s="249">
        <f>SUM(F266:F273)</f>
        <v>0</v>
      </c>
      <c r="G274" s="249">
        <f>SUM(G266:G273)</f>
        <v>0</v>
      </c>
    </row>
    <row r="275" spans="1:7" x14ac:dyDescent="0.35">
      <c r="A275" s="228" t="s">
        <v>1872</v>
      </c>
      <c r="B275" s="232" t="s">
        <v>709</v>
      </c>
      <c r="C275" s="334"/>
      <c r="D275" s="341"/>
      <c r="E275" s="228"/>
      <c r="F275" s="244" t="s">
        <v>1656</v>
      </c>
      <c r="G275" s="244" t="s">
        <v>1656</v>
      </c>
    </row>
    <row r="276" spans="1:7" x14ac:dyDescent="0.35">
      <c r="A276" s="228" t="s">
        <v>1873</v>
      </c>
      <c r="B276" s="232" t="s">
        <v>711</v>
      </c>
      <c r="C276" s="334"/>
      <c r="D276" s="341"/>
      <c r="E276" s="228"/>
      <c r="F276" s="244" t="s">
        <v>1656</v>
      </c>
      <c r="G276" s="244" t="s">
        <v>1656</v>
      </c>
    </row>
    <row r="277" spans="1:7" x14ac:dyDescent="0.35">
      <c r="A277" s="228" t="s">
        <v>1874</v>
      </c>
      <c r="B277" s="232" t="s">
        <v>713</v>
      </c>
      <c r="C277" s="334"/>
      <c r="D277" s="341"/>
      <c r="E277" s="228"/>
      <c r="F277" s="244" t="s">
        <v>1656</v>
      </c>
      <c r="G277" s="244" t="s">
        <v>1656</v>
      </c>
    </row>
    <row r="278" spans="1:7" x14ac:dyDescent="0.35">
      <c r="A278" s="228" t="s">
        <v>1875</v>
      </c>
      <c r="B278" s="232" t="s">
        <v>715</v>
      </c>
      <c r="C278" s="334"/>
      <c r="D278" s="341"/>
      <c r="E278" s="228"/>
      <c r="F278" s="244" t="s">
        <v>1656</v>
      </c>
      <c r="G278" s="244" t="s">
        <v>1656</v>
      </c>
    </row>
    <row r="279" spans="1:7" x14ac:dyDescent="0.35">
      <c r="A279" s="228" t="s">
        <v>1876</v>
      </c>
      <c r="B279" s="232" t="s">
        <v>717</v>
      </c>
      <c r="C279" s="334"/>
      <c r="D279" s="341"/>
      <c r="E279" s="228"/>
      <c r="F279" s="244" t="s">
        <v>1656</v>
      </c>
      <c r="G279" s="244" t="s">
        <v>1656</v>
      </c>
    </row>
    <row r="280" spans="1:7" x14ac:dyDescent="0.35">
      <c r="A280" s="228" t="s">
        <v>1877</v>
      </c>
      <c r="B280" s="232" t="s">
        <v>719</v>
      </c>
      <c r="C280" s="334"/>
      <c r="D280" s="341"/>
      <c r="E280" s="228"/>
      <c r="F280" s="244" t="s">
        <v>1656</v>
      </c>
      <c r="G280" s="244" t="s">
        <v>1656</v>
      </c>
    </row>
    <row r="281" spans="1:7" x14ac:dyDescent="0.35">
      <c r="A281" s="228" t="s">
        <v>1878</v>
      </c>
      <c r="B281" s="232"/>
      <c r="C281" s="228"/>
      <c r="D281" s="228"/>
      <c r="E281" s="228"/>
      <c r="F281" s="229"/>
      <c r="G281" s="229"/>
    </row>
    <row r="282" spans="1:7" x14ac:dyDescent="0.35">
      <c r="A282" s="228" t="s">
        <v>1879</v>
      </c>
      <c r="B282" s="232"/>
      <c r="C282" s="228"/>
      <c r="D282" s="228"/>
      <c r="E282" s="228"/>
      <c r="F282" s="229"/>
      <c r="G282" s="229"/>
    </row>
    <row r="283" spans="1:7" x14ac:dyDescent="0.35">
      <c r="A283" s="228" t="s">
        <v>1880</v>
      </c>
      <c r="B283" s="232"/>
      <c r="C283" s="228"/>
      <c r="D283" s="228"/>
      <c r="E283" s="228"/>
      <c r="F283" s="229"/>
      <c r="G283" s="229"/>
    </row>
    <row r="284" spans="1:7" x14ac:dyDescent="0.35">
      <c r="A284" s="85"/>
      <c r="B284" s="85" t="s">
        <v>743</v>
      </c>
      <c r="C284" s="85" t="s">
        <v>486</v>
      </c>
      <c r="D284" s="85"/>
      <c r="E284" s="85"/>
      <c r="F284" s="85"/>
      <c r="G284" s="85"/>
    </row>
    <row r="285" spans="1:7" x14ac:dyDescent="0.35">
      <c r="A285" s="228" t="s">
        <v>1881</v>
      </c>
      <c r="B285" s="228" t="s">
        <v>745</v>
      </c>
      <c r="C285" s="340" t="s">
        <v>82</v>
      </c>
      <c r="D285" s="228"/>
      <c r="E285" s="231"/>
      <c r="F285" s="231"/>
      <c r="G285" s="231"/>
    </row>
    <row r="286" spans="1:7" x14ac:dyDescent="0.35">
      <c r="A286" s="228" t="s">
        <v>1882</v>
      </c>
      <c r="B286" s="228" t="s">
        <v>747</v>
      </c>
      <c r="C286" s="340" t="s">
        <v>82</v>
      </c>
      <c r="D286" s="228"/>
      <c r="E286" s="231"/>
      <c r="F286" s="231"/>
      <c r="G286" s="226"/>
    </row>
    <row r="287" spans="1:7" x14ac:dyDescent="0.35">
      <c r="A287" s="228" t="s">
        <v>1883</v>
      </c>
      <c r="B287" s="264" t="s">
        <v>749</v>
      </c>
      <c r="C287" s="340" t="s">
        <v>82</v>
      </c>
      <c r="D287" s="228"/>
      <c r="E287" s="231"/>
      <c r="F287" s="231"/>
      <c r="G287" s="226"/>
    </row>
    <row r="288" spans="1:7" s="258" customFormat="1" x14ac:dyDescent="0.35">
      <c r="A288" s="264" t="s">
        <v>1884</v>
      </c>
      <c r="B288" s="264" t="s">
        <v>2216</v>
      </c>
      <c r="C288" s="340" t="s">
        <v>82</v>
      </c>
      <c r="D288" s="264"/>
      <c r="E288" s="231"/>
      <c r="F288" s="231"/>
      <c r="G288" s="262"/>
    </row>
    <row r="289" spans="1:7" x14ac:dyDescent="0.35">
      <c r="A289" s="264" t="s">
        <v>1885</v>
      </c>
      <c r="B289" s="235" t="s">
        <v>1384</v>
      </c>
      <c r="C289" s="340" t="s">
        <v>82</v>
      </c>
      <c r="D289" s="237"/>
      <c r="E289" s="237"/>
      <c r="F289" s="238"/>
      <c r="G289" s="238"/>
    </row>
    <row r="290" spans="1:7" x14ac:dyDescent="0.35">
      <c r="A290" s="264" t="s">
        <v>2217</v>
      </c>
      <c r="B290" s="228" t="s">
        <v>143</v>
      </c>
      <c r="C290" s="340" t="s">
        <v>82</v>
      </c>
      <c r="D290" s="228"/>
      <c r="E290" s="231"/>
      <c r="F290" s="231"/>
      <c r="G290" s="226"/>
    </row>
    <row r="291" spans="1:7" x14ac:dyDescent="0.35">
      <c r="A291" s="228" t="s">
        <v>1886</v>
      </c>
      <c r="B291" s="232" t="s">
        <v>753</v>
      </c>
      <c r="C291" s="342"/>
      <c r="D291" s="228"/>
      <c r="E291" s="231"/>
      <c r="F291" s="231"/>
      <c r="G291" s="226"/>
    </row>
    <row r="292" spans="1:7" x14ac:dyDescent="0.35">
      <c r="A292" s="264" t="s">
        <v>1887</v>
      </c>
      <c r="B292" s="232" t="s">
        <v>755</v>
      </c>
      <c r="C292" s="340"/>
      <c r="D292" s="228"/>
      <c r="E292" s="231"/>
      <c r="F292" s="231"/>
      <c r="G292" s="226"/>
    </row>
    <row r="293" spans="1:7" x14ac:dyDescent="0.35">
      <c r="A293" s="264" t="s">
        <v>1888</v>
      </c>
      <c r="B293" s="232" t="s">
        <v>757</v>
      </c>
      <c r="C293" s="340"/>
      <c r="D293" s="228"/>
      <c r="E293" s="231"/>
      <c r="F293" s="231"/>
      <c r="G293" s="226"/>
    </row>
    <row r="294" spans="1:7" x14ac:dyDescent="0.35">
      <c r="A294" s="264" t="s">
        <v>1889</v>
      </c>
      <c r="B294" s="232" t="s">
        <v>759</v>
      </c>
      <c r="C294" s="340"/>
      <c r="D294" s="228"/>
      <c r="E294" s="231"/>
      <c r="F294" s="231"/>
      <c r="G294" s="226"/>
    </row>
    <row r="295" spans="1:7" x14ac:dyDescent="0.35">
      <c r="A295" s="264" t="s">
        <v>1890</v>
      </c>
      <c r="B295" s="336" t="s">
        <v>147</v>
      </c>
      <c r="C295" s="340"/>
      <c r="D295" s="228"/>
      <c r="E295" s="231"/>
      <c r="F295" s="231"/>
      <c r="G295" s="226"/>
    </row>
    <row r="296" spans="1:7" x14ac:dyDescent="0.35">
      <c r="A296" s="264" t="s">
        <v>1891</v>
      </c>
      <c r="B296" s="336" t="s">
        <v>147</v>
      </c>
      <c r="C296" s="340"/>
      <c r="D296" s="228"/>
      <c r="E296" s="231"/>
      <c r="F296" s="231"/>
      <c r="G296" s="226"/>
    </row>
    <row r="297" spans="1:7" x14ac:dyDescent="0.35">
      <c r="A297" s="264" t="s">
        <v>1892</v>
      </c>
      <c r="B297" s="336" t="s">
        <v>147</v>
      </c>
      <c r="C297" s="340"/>
      <c r="D297" s="228"/>
      <c r="E297" s="231"/>
      <c r="F297" s="231"/>
      <c r="G297" s="226"/>
    </row>
    <row r="298" spans="1:7" x14ac:dyDescent="0.35">
      <c r="A298" s="264" t="s">
        <v>1893</v>
      </c>
      <c r="B298" s="336" t="s">
        <v>147</v>
      </c>
      <c r="C298" s="340"/>
      <c r="D298" s="228"/>
      <c r="E298" s="231"/>
      <c r="F298" s="231"/>
      <c r="G298" s="226"/>
    </row>
    <row r="299" spans="1:7" x14ac:dyDescent="0.35">
      <c r="A299" s="264" t="s">
        <v>1894</v>
      </c>
      <c r="B299" s="336" t="s">
        <v>147</v>
      </c>
      <c r="C299" s="340"/>
      <c r="D299" s="228"/>
      <c r="E299" s="231"/>
      <c r="F299" s="231"/>
      <c r="G299" s="226"/>
    </row>
    <row r="300" spans="1:7" x14ac:dyDescent="0.35">
      <c r="A300" s="264" t="s">
        <v>1895</v>
      </c>
      <c r="B300" s="336" t="s">
        <v>147</v>
      </c>
      <c r="C300" s="340"/>
      <c r="D300" s="228"/>
      <c r="E300" s="231"/>
      <c r="F300" s="231"/>
      <c r="G300" s="226"/>
    </row>
    <row r="301" spans="1:7" x14ac:dyDescent="0.35">
      <c r="A301" s="85"/>
      <c r="B301" s="85" t="s">
        <v>765</v>
      </c>
      <c r="C301" s="85" t="s">
        <v>486</v>
      </c>
      <c r="D301" s="85"/>
      <c r="E301" s="85"/>
      <c r="F301" s="85"/>
      <c r="G301" s="85"/>
    </row>
    <row r="302" spans="1:7" x14ac:dyDescent="0.35">
      <c r="A302" s="228" t="s">
        <v>1896</v>
      </c>
      <c r="B302" s="228" t="s">
        <v>1385</v>
      </c>
      <c r="C302" s="340" t="s">
        <v>82</v>
      </c>
      <c r="D302" s="228"/>
      <c r="E302" s="226"/>
      <c r="F302" s="226"/>
      <c r="G302" s="226"/>
    </row>
    <row r="303" spans="1:7" x14ac:dyDescent="0.35">
      <c r="A303" s="228" t="s">
        <v>1897</v>
      </c>
      <c r="B303" s="228" t="s">
        <v>767</v>
      </c>
      <c r="C303" s="340" t="s">
        <v>82</v>
      </c>
      <c r="D303" s="228"/>
      <c r="E303" s="226"/>
      <c r="F303" s="226"/>
      <c r="G303" s="226"/>
    </row>
    <row r="304" spans="1:7" x14ac:dyDescent="0.35">
      <c r="A304" s="228" t="s">
        <v>1898</v>
      </c>
      <c r="B304" s="228" t="s">
        <v>143</v>
      </c>
      <c r="C304" s="340" t="s">
        <v>82</v>
      </c>
      <c r="D304" s="228"/>
      <c r="E304" s="226"/>
      <c r="F304" s="226"/>
      <c r="G304" s="226"/>
    </row>
    <row r="305" spans="1:7" x14ac:dyDescent="0.35">
      <c r="A305" s="228" t="s">
        <v>1899</v>
      </c>
      <c r="B305" s="228"/>
      <c r="C305" s="242"/>
      <c r="D305" s="228"/>
      <c r="E305" s="226"/>
      <c r="F305" s="226"/>
      <c r="G305" s="226"/>
    </row>
    <row r="306" spans="1:7" x14ac:dyDescent="0.35">
      <c r="A306" s="228" t="s">
        <v>1900</v>
      </c>
      <c r="B306" s="228"/>
      <c r="C306" s="242"/>
      <c r="D306" s="228"/>
      <c r="E306" s="226"/>
      <c r="F306" s="226"/>
      <c r="G306" s="226"/>
    </row>
    <row r="307" spans="1:7" x14ac:dyDescent="0.35">
      <c r="A307" s="228" t="s">
        <v>1901</v>
      </c>
      <c r="B307" s="228"/>
      <c r="C307" s="242"/>
      <c r="D307" s="228"/>
      <c r="E307" s="226"/>
      <c r="F307" s="226"/>
      <c r="G307" s="226"/>
    </row>
    <row r="308" spans="1:7" x14ac:dyDescent="0.35">
      <c r="A308" s="85"/>
      <c r="B308" s="85" t="s">
        <v>2139</v>
      </c>
      <c r="C308" s="85" t="s">
        <v>112</v>
      </c>
      <c r="D308" s="85" t="s">
        <v>1643</v>
      </c>
      <c r="E308" s="85"/>
      <c r="F308" s="85" t="s">
        <v>486</v>
      </c>
      <c r="G308" s="85" t="s">
        <v>1902</v>
      </c>
    </row>
    <row r="309" spans="1:7" x14ac:dyDescent="0.35">
      <c r="A309" s="219" t="s">
        <v>1903</v>
      </c>
      <c r="B309" s="333" t="s">
        <v>579</v>
      </c>
      <c r="C309" s="334" t="s">
        <v>82</v>
      </c>
      <c r="D309" s="341" t="s">
        <v>82</v>
      </c>
      <c r="E309" s="223"/>
      <c r="F309" s="244" t="str">
        <f>IF($C$327=0,"",IF(C309="[for completion]","",IF(C309="","",C309/$C$327)))</f>
        <v/>
      </c>
      <c r="G309" s="244" t="str">
        <f>IF($D$327=0,"",IF(D309="[for completion]","",IF(D309="","",D309/$D$327)))</f>
        <v/>
      </c>
    </row>
    <row r="310" spans="1:7" x14ac:dyDescent="0.35">
      <c r="A310" s="219" t="s">
        <v>1904</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35">
      <c r="A311" s="219" t="s">
        <v>1905</v>
      </c>
      <c r="B311" s="333" t="s">
        <v>579</v>
      </c>
      <c r="C311" s="334" t="s">
        <v>82</v>
      </c>
      <c r="D311" s="341" t="s">
        <v>82</v>
      </c>
      <c r="E311" s="223"/>
      <c r="F311" s="244" t="str">
        <f t="shared" si="7"/>
        <v/>
      </c>
      <c r="G311" s="244" t="str">
        <f t="shared" si="8"/>
        <v/>
      </c>
    </row>
    <row r="312" spans="1:7" x14ac:dyDescent="0.35">
      <c r="A312" s="219" t="s">
        <v>1906</v>
      </c>
      <c r="B312" s="333" t="s">
        <v>579</v>
      </c>
      <c r="C312" s="334" t="s">
        <v>82</v>
      </c>
      <c r="D312" s="341" t="s">
        <v>82</v>
      </c>
      <c r="E312" s="223"/>
      <c r="F312" s="244" t="str">
        <f t="shared" si="7"/>
        <v/>
      </c>
      <c r="G312" s="244" t="str">
        <f t="shared" si="8"/>
        <v/>
      </c>
    </row>
    <row r="313" spans="1:7" x14ac:dyDescent="0.35">
      <c r="A313" s="219" t="s">
        <v>1907</v>
      </c>
      <c r="B313" s="333" t="s">
        <v>579</v>
      </c>
      <c r="C313" s="334" t="s">
        <v>82</v>
      </c>
      <c r="D313" s="341" t="s">
        <v>82</v>
      </c>
      <c r="E313" s="223"/>
      <c r="F313" s="244" t="str">
        <f t="shared" si="7"/>
        <v/>
      </c>
      <c r="G313" s="244" t="str">
        <f t="shared" si="8"/>
        <v/>
      </c>
    </row>
    <row r="314" spans="1:7" x14ac:dyDescent="0.35">
      <c r="A314" s="219" t="s">
        <v>1908</v>
      </c>
      <c r="B314" s="333" t="s">
        <v>579</v>
      </c>
      <c r="C314" s="334" t="s">
        <v>82</v>
      </c>
      <c r="D314" s="341" t="s">
        <v>82</v>
      </c>
      <c r="E314" s="223"/>
      <c r="F314" s="244" t="str">
        <f t="shared" si="7"/>
        <v/>
      </c>
      <c r="G314" s="244" t="str">
        <f t="shared" si="8"/>
        <v/>
      </c>
    </row>
    <row r="315" spans="1:7" x14ac:dyDescent="0.35">
      <c r="A315" s="219" t="s">
        <v>1909</v>
      </c>
      <c r="B315" s="333" t="s">
        <v>579</v>
      </c>
      <c r="C315" s="334" t="s">
        <v>82</v>
      </c>
      <c r="D315" s="341" t="s">
        <v>82</v>
      </c>
      <c r="E315" s="223"/>
      <c r="F315" s="244" t="str">
        <f>IF($C$327=0,"",IF(C315="[for completion]","",IF(C315="","",C315/$C$327)))</f>
        <v/>
      </c>
      <c r="G315" s="244" t="str">
        <f t="shared" si="8"/>
        <v/>
      </c>
    </row>
    <row r="316" spans="1:7" x14ac:dyDescent="0.35">
      <c r="A316" s="219" t="s">
        <v>1910</v>
      </c>
      <c r="B316" s="333" t="s">
        <v>579</v>
      </c>
      <c r="C316" s="334" t="s">
        <v>82</v>
      </c>
      <c r="D316" s="341" t="s">
        <v>82</v>
      </c>
      <c r="E316" s="223"/>
      <c r="F316" s="244" t="str">
        <f t="shared" si="7"/>
        <v/>
      </c>
      <c r="G316" s="244" t="str">
        <f t="shared" si="8"/>
        <v/>
      </c>
    </row>
    <row r="317" spans="1:7" x14ac:dyDescent="0.35">
      <c r="A317" s="219" t="s">
        <v>1911</v>
      </c>
      <c r="B317" s="333" t="s">
        <v>579</v>
      </c>
      <c r="C317" s="334" t="s">
        <v>82</v>
      </c>
      <c r="D317" s="341" t="s">
        <v>82</v>
      </c>
      <c r="E317" s="223"/>
      <c r="F317" s="244" t="str">
        <f t="shared" si="7"/>
        <v/>
      </c>
      <c r="G317" s="244" t="str">
        <f t="shared" si="8"/>
        <v/>
      </c>
    </row>
    <row r="318" spans="1:7" x14ac:dyDescent="0.35">
      <c r="A318" s="219" t="s">
        <v>1912</v>
      </c>
      <c r="B318" s="333" t="s">
        <v>579</v>
      </c>
      <c r="C318" s="334" t="s">
        <v>82</v>
      </c>
      <c r="D318" s="341" t="s">
        <v>82</v>
      </c>
      <c r="E318" s="223"/>
      <c r="F318" s="244" t="str">
        <f t="shared" si="7"/>
        <v/>
      </c>
      <c r="G318" s="244" t="str">
        <f>IF($D$327=0,"",IF(D318="[for completion]","",IF(D318="","",D318/$D$327)))</f>
        <v/>
      </c>
    </row>
    <row r="319" spans="1:7" x14ac:dyDescent="0.35">
      <c r="A319" s="219" t="s">
        <v>1913</v>
      </c>
      <c r="B319" s="333" t="s">
        <v>579</v>
      </c>
      <c r="C319" s="334" t="s">
        <v>82</v>
      </c>
      <c r="D319" s="341" t="s">
        <v>82</v>
      </c>
      <c r="E319" s="223"/>
      <c r="F319" s="244" t="str">
        <f t="shared" si="7"/>
        <v/>
      </c>
      <c r="G319" s="244" t="str">
        <f t="shared" si="8"/>
        <v/>
      </c>
    </row>
    <row r="320" spans="1:7" x14ac:dyDescent="0.35">
      <c r="A320" s="219" t="s">
        <v>1914</v>
      </c>
      <c r="B320" s="333" t="s">
        <v>579</v>
      </c>
      <c r="C320" s="334" t="s">
        <v>82</v>
      </c>
      <c r="D320" s="341" t="s">
        <v>82</v>
      </c>
      <c r="E320" s="223"/>
      <c r="F320" s="244" t="str">
        <f t="shared" si="7"/>
        <v/>
      </c>
      <c r="G320" s="244" t="str">
        <f t="shared" si="8"/>
        <v/>
      </c>
    </row>
    <row r="321" spans="1:7" x14ac:dyDescent="0.35">
      <c r="A321" s="219" t="s">
        <v>1915</v>
      </c>
      <c r="B321" s="333" t="s">
        <v>579</v>
      </c>
      <c r="C321" s="334" t="s">
        <v>82</v>
      </c>
      <c r="D321" s="341" t="s">
        <v>82</v>
      </c>
      <c r="E321" s="223"/>
      <c r="F321" s="244" t="str">
        <f t="shared" si="7"/>
        <v/>
      </c>
      <c r="G321" s="244" t="str">
        <f t="shared" si="8"/>
        <v/>
      </c>
    </row>
    <row r="322" spans="1:7" x14ac:dyDescent="0.35">
      <c r="A322" s="219" t="s">
        <v>1916</v>
      </c>
      <c r="B322" s="333" t="s">
        <v>579</v>
      </c>
      <c r="C322" s="334" t="s">
        <v>82</v>
      </c>
      <c r="D322" s="341" t="s">
        <v>82</v>
      </c>
      <c r="E322" s="223"/>
      <c r="F322" s="244" t="str">
        <f t="shared" si="7"/>
        <v/>
      </c>
      <c r="G322" s="244" t="str">
        <f t="shared" si="8"/>
        <v/>
      </c>
    </row>
    <row r="323" spans="1:7" x14ac:dyDescent="0.35">
      <c r="A323" s="219" t="s">
        <v>1917</v>
      </c>
      <c r="B323" s="333" t="s">
        <v>579</v>
      </c>
      <c r="C323" s="334" t="s">
        <v>82</v>
      </c>
      <c r="D323" s="341" t="s">
        <v>82</v>
      </c>
      <c r="E323" s="223"/>
      <c r="F323" s="244" t="str">
        <f t="shared" si="7"/>
        <v/>
      </c>
      <c r="G323" s="244" t="str">
        <f t="shared" si="8"/>
        <v/>
      </c>
    </row>
    <row r="324" spans="1:7" x14ac:dyDescent="0.35">
      <c r="A324" s="219" t="s">
        <v>1918</v>
      </c>
      <c r="B324" s="333" t="s">
        <v>579</v>
      </c>
      <c r="C324" s="334" t="s">
        <v>82</v>
      </c>
      <c r="D324" s="341" t="s">
        <v>82</v>
      </c>
      <c r="E324" s="223"/>
      <c r="F324" s="244" t="str">
        <f t="shared" si="7"/>
        <v/>
      </c>
      <c r="G324" s="244" t="str">
        <f t="shared" si="8"/>
        <v/>
      </c>
    </row>
    <row r="325" spans="1:7" x14ac:dyDescent="0.35">
      <c r="A325" s="219" t="s">
        <v>1919</v>
      </c>
      <c r="B325" s="333" t="s">
        <v>579</v>
      </c>
      <c r="C325" s="334" t="s">
        <v>82</v>
      </c>
      <c r="D325" s="341" t="s">
        <v>82</v>
      </c>
      <c r="E325" s="223"/>
      <c r="F325" s="244" t="str">
        <f t="shared" si="7"/>
        <v/>
      </c>
      <c r="G325" s="244" t="str">
        <f t="shared" si="8"/>
        <v/>
      </c>
    </row>
    <row r="326" spans="1:7" x14ac:dyDescent="0.35">
      <c r="A326" s="219" t="s">
        <v>1920</v>
      </c>
      <c r="B326" s="235" t="s">
        <v>2037</v>
      </c>
      <c r="C326" s="334" t="s">
        <v>82</v>
      </c>
      <c r="D326" s="341" t="s">
        <v>82</v>
      </c>
      <c r="E326" s="223"/>
      <c r="F326" s="244" t="str">
        <f t="shared" si="7"/>
        <v/>
      </c>
      <c r="G326" s="244" t="str">
        <f t="shared" si="8"/>
        <v/>
      </c>
    </row>
    <row r="327" spans="1:7" x14ac:dyDescent="0.35">
      <c r="A327" s="219" t="s">
        <v>1921</v>
      </c>
      <c r="B327" s="225" t="s">
        <v>145</v>
      </c>
      <c r="C327" s="187">
        <f>SUM(C309:C326)</f>
        <v>0</v>
      </c>
      <c r="D327" s="247">
        <f>SUM(D309:D326)</f>
        <v>0</v>
      </c>
      <c r="E327" s="223"/>
      <c r="F327" s="249">
        <f>SUM(F319:F326)</f>
        <v>0</v>
      </c>
      <c r="G327" s="249">
        <f>SUM(G319:G326)</f>
        <v>0</v>
      </c>
    </row>
    <row r="328" spans="1:7" x14ac:dyDescent="0.35">
      <c r="A328" s="219" t="s">
        <v>1922</v>
      </c>
      <c r="B328" s="225"/>
      <c r="C328" s="219"/>
      <c r="D328" s="219"/>
      <c r="E328" s="223"/>
      <c r="F328" s="223"/>
      <c r="G328" s="223"/>
    </row>
    <row r="329" spans="1:7" x14ac:dyDescent="0.35">
      <c r="A329" s="219" t="s">
        <v>1923</v>
      </c>
      <c r="B329" s="225"/>
      <c r="C329" s="219"/>
      <c r="D329" s="219"/>
      <c r="E329" s="223"/>
      <c r="F329" s="223"/>
      <c r="G329" s="223"/>
    </row>
    <row r="330" spans="1:7" x14ac:dyDescent="0.35">
      <c r="A330" s="219" t="s">
        <v>1924</v>
      </c>
      <c r="B330" s="225"/>
      <c r="C330" s="219"/>
      <c r="D330" s="219"/>
      <c r="E330" s="223"/>
      <c r="F330" s="223"/>
      <c r="G330" s="223"/>
    </row>
    <row r="331" spans="1:7" s="258" customFormat="1" x14ac:dyDescent="0.35">
      <c r="A331" s="85"/>
      <c r="B331" s="85" t="s">
        <v>2617</v>
      </c>
      <c r="C331" s="85" t="s">
        <v>112</v>
      </c>
      <c r="D331" s="85" t="s">
        <v>1643</v>
      </c>
      <c r="E331" s="85"/>
      <c r="F331" s="85" t="s">
        <v>486</v>
      </c>
      <c r="G331" s="85" t="s">
        <v>1902</v>
      </c>
    </row>
    <row r="332" spans="1:7" s="258" customFormat="1" x14ac:dyDescent="0.35">
      <c r="A332" s="275" t="s">
        <v>1925</v>
      </c>
      <c r="B332" s="333" t="s">
        <v>579</v>
      </c>
      <c r="C332" s="334" t="s">
        <v>82</v>
      </c>
      <c r="D332" s="341" t="s">
        <v>82</v>
      </c>
      <c r="E332" s="260"/>
      <c r="F332" s="244" t="str">
        <f>IF($C$350=0,"",IF(C332="[for completion]","",IF(C332="","",C332/$C$350)))</f>
        <v/>
      </c>
      <c r="G332" s="244" t="str">
        <f>IF($D$350=0,"",IF(D332="[for completion]","",IF(D332="","",D332/$D$350)))</f>
        <v/>
      </c>
    </row>
    <row r="333" spans="1:7" s="258" customFormat="1" x14ac:dyDescent="0.35">
      <c r="A333" s="275" t="s">
        <v>1926</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35">
      <c r="A334" s="275" t="s">
        <v>1927</v>
      </c>
      <c r="B334" s="333" t="s">
        <v>579</v>
      </c>
      <c r="C334" s="334" t="s">
        <v>82</v>
      </c>
      <c r="D334" s="341" t="s">
        <v>82</v>
      </c>
      <c r="E334" s="260"/>
      <c r="F334" s="244" t="str">
        <f t="shared" si="9"/>
        <v/>
      </c>
      <c r="G334" s="244" t="str">
        <f t="shared" si="10"/>
        <v/>
      </c>
    </row>
    <row r="335" spans="1:7" s="258" customFormat="1" x14ac:dyDescent="0.35">
      <c r="A335" s="275" t="s">
        <v>1928</v>
      </c>
      <c r="B335" s="333" t="s">
        <v>579</v>
      </c>
      <c r="C335" s="334" t="s">
        <v>82</v>
      </c>
      <c r="D335" s="341" t="s">
        <v>82</v>
      </c>
      <c r="E335" s="260"/>
      <c r="F335" s="244" t="str">
        <f t="shared" si="9"/>
        <v/>
      </c>
      <c r="G335" s="244" t="str">
        <f t="shared" si="10"/>
        <v/>
      </c>
    </row>
    <row r="336" spans="1:7" s="258" customFormat="1" x14ac:dyDescent="0.35">
      <c r="A336" s="275" t="s">
        <v>1929</v>
      </c>
      <c r="B336" s="333" t="s">
        <v>579</v>
      </c>
      <c r="C336" s="334" t="s">
        <v>82</v>
      </c>
      <c r="D336" s="341" t="s">
        <v>82</v>
      </c>
      <c r="E336" s="260"/>
      <c r="F336" s="244" t="str">
        <f t="shared" si="9"/>
        <v/>
      </c>
      <c r="G336" s="244" t="str">
        <f t="shared" si="10"/>
        <v/>
      </c>
    </row>
    <row r="337" spans="1:7" s="258" customFormat="1" x14ac:dyDescent="0.35">
      <c r="A337" s="275" t="s">
        <v>1930</v>
      </c>
      <c r="B337" s="333" t="s">
        <v>579</v>
      </c>
      <c r="C337" s="334" t="s">
        <v>82</v>
      </c>
      <c r="D337" s="341" t="s">
        <v>82</v>
      </c>
      <c r="E337" s="260"/>
      <c r="F337" s="244" t="str">
        <f t="shared" si="9"/>
        <v/>
      </c>
      <c r="G337" s="244" t="str">
        <f t="shared" si="10"/>
        <v/>
      </c>
    </row>
    <row r="338" spans="1:7" s="258" customFormat="1" x14ac:dyDescent="0.35">
      <c r="A338" s="275" t="s">
        <v>1931</v>
      </c>
      <c r="B338" s="333" t="s">
        <v>579</v>
      </c>
      <c r="C338" s="334" t="s">
        <v>82</v>
      </c>
      <c r="D338" s="341" t="s">
        <v>82</v>
      </c>
      <c r="E338" s="260"/>
      <c r="F338" s="244" t="str">
        <f t="shared" si="9"/>
        <v/>
      </c>
      <c r="G338" s="244" t="str">
        <f t="shared" si="10"/>
        <v/>
      </c>
    </row>
    <row r="339" spans="1:7" s="258" customFormat="1" x14ac:dyDescent="0.35">
      <c r="A339" s="275" t="s">
        <v>1932</v>
      </c>
      <c r="B339" s="333" t="s">
        <v>579</v>
      </c>
      <c r="C339" s="334" t="s">
        <v>82</v>
      </c>
      <c r="D339" s="341" t="s">
        <v>82</v>
      </c>
      <c r="E339" s="260"/>
      <c r="F339" s="244" t="str">
        <f t="shared" si="9"/>
        <v/>
      </c>
      <c r="G339" s="244" t="str">
        <f t="shared" si="10"/>
        <v/>
      </c>
    </row>
    <row r="340" spans="1:7" s="258" customFormat="1" x14ac:dyDescent="0.35">
      <c r="A340" s="275" t="s">
        <v>1933</v>
      </c>
      <c r="B340" s="333" t="s">
        <v>579</v>
      </c>
      <c r="C340" s="334" t="s">
        <v>82</v>
      </c>
      <c r="D340" s="341" t="s">
        <v>82</v>
      </c>
      <c r="E340" s="260"/>
      <c r="F340" s="244" t="str">
        <f t="shared" si="9"/>
        <v/>
      </c>
      <c r="G340" s="244" t="str">
        <f t="shared" si="10"/>
        <v/>
      </c>
    </row>
    <row r="341" spans="1:7" s="258" customFormat="1" x14ac:dyDescent="0.35">
      <c r="A341" s="275" t="s">
        <v>1934</v>
      </c>
      <c r="B341" s="333" t="s">
        <v>579</v>
      </c>
      <c r="C341" s="334" t="s">
        <v>82</v>
      </c>
      <c r="D341" s="341" t="s">
        <v>82</v>
      </c>
      <c r="E341" s="260"/>
      <c r="F341" s="244" t="str">
        <f t="shared" si="9"/>
        <v/>
      </c>
      <c r="G341" s="244" t="str">
        <f t="shared" si="10"/>
        <v/>
      </c>
    </row>
    <row r="342" spans="1:7" s="258" customFormat="1" x14ac:dyDescent="0.35">
      <c r="A342" s="275" t="s">
        <v>2115</v>
      </c>
      <c r="B342" s="333" t="s">
        <v>579</v>
      </c>
      <c r="C342" s="334" t="s">
        <v>82</v>
      </c>
      <c r="D342" s="341" t="s">
        <v>82</v>
      </c>
      <c r="E342" s="260"/>
      <c r="F342" s="244" t="str">
        <f t="shared" si="9"/>
        <v/>
      </c>
      <c r="G342" s="244" t="str">
        <f t="shared" si="10"/>
        <v/>
      </c>
    </row>
    <row r="343" spans="1:7" s="258" customFormat="1" x14ac:dyDescent="0.35">
      <c r="A343" s="275" t="s">
        <v>2140</v>
      </c>
      <c r="B343" s="333" t="s">
        <v>579</v>
      </c>
      <c r="C343" s="334" t="s">
        <v>82</v>
      </c>
      <c r="D343" s="341" t="s">
        <v>82</v>
      </c>
      <c r="E343" s="260"/>
      <c r="F343" s="244" t="str">
        <f t="shared" si="9"/>
        <v/>
      </c>
      <c r="G343" s="244" t="str">
        <f>IF($D$350=0,"",IF(D343="[for completion]","",IF(D343="","",D343/$D$350)))</f>
        <v/>
      </c>
    </row>
    <row r="344" spans="1:7" s="258" customFormat="1" x14ac:dyDescent="0.35">
      <c r="A344" s="275" t="s">
        <v>2141</v>
      </c>
      <c r="B344" s="333" t="s">
        <v>579</v>
      </c>
      <c r="C344" s="334" t="s">
        <v>82</v>
      </c>
      <c r="D344" s="341" t="s">
        <v>82</v>
      </c>
      <c r="E344" s="260"/>
      <c r="F344" s="244" t="str">
        <f t="shared" si="9"/>
        <v/>
      </c>
      <c r="G344" s="244" t="str">
        <f t="shared" si="10"/>
        <v/>
      </c>
    </row>
    <row r="345" spans="1:7" s="258" customFormat="1" x14ac:dyDescent="0.35">
      <c r="A345" s="275" t="s">
        <v>2142</v>
      </c>
      <c r="B345" s="333" t="s">
        <v>579</v>
      </c>
      <c r="C345" s="334" t="s">
        <v>82</v>
      </c>
      <c r="D345" s="341" t="s">
        <v>82</v>
      </c>
      <c r="E345" s="260"/>
      <c r="F345" s="244" t="str">
        <f t="shared" si="9"/>
        <v/>
      </c>
      <c r="G345" s="244" t="str">
        <f t="shared" si="10"/>
        <v/>
      </c>
    </row>
    <row r="346" spans="1:7" s="258" customFormat="1" x14ac:dyDescent="0.35">
      <c r="A346" s="275" t="s">
        <v>2143</v>
      </c>
      <c r="B346" s="333" t="s">
        <v>579</v>
      </c>
      <c r="C346" s="334" t="s">
        <v>82</v>
      </c>
      <c r="D346" s="341" t="s">
        <v>82</v>
      </c>
      <c r="E346" s="260"/>
      <c r="F346" s="244" t="str">
        <f t="shared" si="9"/>
        <v/>
      </c>
      <c r="G346" s="244" t="str">
        <f t="shared" si="10"/>
        <v/>
      </c>
    </row>
    <row r="347" spans="1:7" s="258" customFormat="1" x14ac:dyDescent="0.35">
      <c r="A347" s="275" t="s">
        <v>2144</v>
      </c>
      <c r="B347" s="333" t="s">
        <v>579</v>
      </c>
      <c r="C347" s="334" t="s">
        <v>82</v>
      </c>
      <c r="D347" s="341" t="s">
        <v>82</v>
      </c>
      <c r="E347" s="260"/>
      <c r="F347" s="244" t="str">
        <f>IF($C$350=0,"",IF(C347="[for completion]","",IF(C347="","",C347/$C$350)))</f>
        <v/>
      </c>
      <c r="G347" s="244" t="str">
        <f t="shared" si="10"/>
        <v/>
      </c>
    </row>
    <row r="348" spans="1:7" s="258" customFormat="1" x14ac:dyDescent="0.35">
      <c r="A348" s="275" t="s">
        <v>2145</v>
      </c>
      <c r="B348" s="333" t="s">
        <v>579</v>
      </c>
      <c r="C348" s="334" t="s">
        <v>82</v>
      </c>
      <c r="D348" s="341" t="s">
        <v>82</v>
      </c>
      <c r="E348" s="260"/>
      <c r="F348" s="244" t="str">
        <f t="shared" si="9"/>
        <v/>
      </c>
      <c r="G348" s="244" t="str">
        <f t="shared" si="10"/>
        <v/>
      </c>
    </row>
    <row r="349" spans="1:7" s="258" customFormat="1" x14ac:dyDescent="0.35">
      <c r="A349" s="275" t="s">
        <v>2146</v>
      </c>
      <c r="B349" s="235" t="s">
        <v>2037</v>
      </c>
      <c r="C349" s="334" t="s">
        <v>82</v>
      </c>
      <c r="D349" s="341" t="s">
        <v>82</v>
      </c>
      <c r="E349" s="260"/>
      <c r="F349" s="244" t="str">
        <f t="shared" si="9"/>
        <v/>
      </c>
      <c r="G349" s="244" t="str">
        <f t="shared" si="10"/>
        <v/>
      </c>
    </row>
    <row r="350" spans="1:7" s="258" customFormat="1" x14ac:dyDescent="0.35">
      <c r="A350" s="275" t="s">
        <v>2147</v>
      </c>
      <c r="B350" s="261" t="s">
        <v>145</v>
      </c>
      <c r="C350" s="187">
        <f>SUM(C332:C349)</f>
        <v>0</v>
      </c>
      <c r="D350" s="188">
        <f>SUM(D332:D349)</f>
        <v>0</v>
      </c>
      <c r="E350" s="260"/>
      <c r="F350" s="249">
        <f>SUM(F332:F349)</f>
        <v>0</v>
      </c>
      <c r="G350" s="249">
        <f>SUM(G332:G349)</f>
        <v>0</v>
      </c>
    </row>
    <row r="351" spans="1:7" s="258" customFormat="1" x14ac:dyDescent="0.35">
      <c r="A351" s="275" t="s">
        <v>1935</v>
      </c>
      <c r="B351" s="261"/>
      <c r="C351" s="275"/>
      <c r="D351" s="275"/>
      <c r="E351" s="260"/>
      <c r="F351" s="260"/>
      <c r="G351" s="260"/>
    </row>
    <row r="352" spans="1:7" s="258" customFormat="1" x14ac:dyDescent="0.35">
      <c r="A352" s="275" t="s">
        <v>2148</v>
      </c>
      <c r="B352" s="261"/>
      <c r="C352" s="275"/>
      <c r="D352" s="275"/>
      <c r="E352" s="260"/>
      <c r="F352" s="260"/>
      <c r="G352" s="260"/>
    </row>
    <row r="353" spans="1:7" x14ac:dyDescent="0.35">
      <c r="A353" s="85"/>
      <c r="B353" s="85" t="s">
        <v>2291</v>
      </c>
      <c r="C353" s="85" t="s">
        <v>112</v>
      </c>
      <c r="D353" s="85" t="s">
        <v>1643</v>
      </c>
      <c r="E353" s="85"/>
      <c r="F353" s="85" t="s">
        <v>486</v>
      </c>
      <c r="G353" s="85" t="s">
        <v>2294</v>
      </c>
    </row>
    <row r="354" spans="1:7" x14ac:dyDescent="0.35">
      <c r="A354" s="219" t="s">
        <v>1936</v>
      </c>
      <c r="B354" s="225" t="s">
        <v>1636</v>
      </c>
      <c r="C354" s="334" t="s">
        <v>82</v>
      </c>
      <c r="D354" s="341" t="s">
        <v>82</v>
      </c>
      <c r="E354" s="223"/>
      <c r="F354" s="366" t="str">
        <f>IF($C$367=0,"",IF(C354="[for completion]","",IF(C354="","",C354/$C$367)))</f>
        <v/>
      </c>
      <c r="G354" s="366" t="str">
        <f>IF($D$367=0,"",IF(D354="[for completion]","",IF(D354="","",D354/$D$367)))</f>
        <v/>
      </c>
    </row>
    <row r="355" spans="1:7" x14ac:dyDescent="0.35">
      <c r="A355" s="275" t="s">
        <v>1937</v>
      </c>
      <c r="B355" s="225" t="s">
        <v>1637</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35">
      <c r="A356" s="275" t="s">
        <v>1938</v>
      </c>
      <c r="B356" s="261" t="s">
        <v>2318</v>
      </c>
      <c r="C356" s="334" t="s">
        <v>82</v>
      </c>
      <c r="D356" s="341" t="s">
        <v>82</v>
      </c>
      <c r="E356" s="223"/>
      <c r="F356" s="366" t="str">
        <f t="shared" si="11"/>
        <v/>
      </c>
      <c r="G356" s="366" t="str">
        <f t="shared" si="12"/>
        <v/>
      </c>
    </row>
    <row r="357" spans="1:7" x14ac:dyDescent="0.35">
      <c r="A357" s="275" t="s">
        <v>1939</v>
      </c>
      <c r="B357" s="225" t="s">
        <v>1638</v>
      </c>
      <c r="C357" s="334" t="s">
        <v>82</v>
      </c>
      <c r="D357" s="341" t="s">
        <v>82</v>
      </c>
      <c r="E357" s="223"/>
      <c r="F357" s="366" t="str">
        <f t="shared" si="11"/>
        <v/>
      </c>
      <c r="G357" s="366" t="str">
        <f t="shared" si="12"/>
        <v/>
      </c>
    </row>
    <row r="358" spans="1:7" x14ac:dyDescent="0.35">
      <c r="A358" s="275" t="s">
        <v>1940</v>
      </c>
      <c r="B358" s="225" t="s">
        <v>1639</v>
      </c>
      <c r="C358" s="334" t="s">
        <v>82</v>
      </c>
      <c r="D358" s="341" t="s">
        <v>82</v>
      </c>
      <c r="E358" s="223"/>
      <c r="F358" s="366" t="str">
        <f t="shared" si="11"/>
        <v/>
      </c>
      <c r="G358" s="366" t="str">
        <f t="shared" si="12"/>
        <v/>
      </c>
    </row>
    <row r="359" spans="1:7" x14ac:dyDescent="0.35">
      <c r="A359" s="275" t="s">
        <v>1941</v>
      </c>
      <c r="B359" s="225" t="s">
        <v>1640</v>
      </c>
      <c r="C359" s="334" t="s">
        <v>82</v>
      </c>
      <c r="D359" s="341" t="s">
        <v>82</v>
      </c>
      <c r="E359" s="223"/>
      <c r="F359" s="366" t="str">
        <f t="shared" si="11"/>
        <v/>
      </c>
      <c r="G359" s="366" t="str">
        <f t="shared" si="12"/>
        <v/>
      </c>
    </row>
    <row r="360" spans="1:7" x14ac:dyDescent="0.35">
      <c r="A360" s="275" t="s">
        <v>2031</v>
      </c>
      <c r="B360" s="225" t="s">
        <v>1641</v>
      </c>
      <c r="C360" s="334" t="s">
        <v>82</v>
      </c>
      <c r="D360" s="341" t="s">
        <v>82</v>
      </c>
      <c r="E360" s="223"/>
      <c r="F360" s="366" t="str">
        <f t="shared" si="11"/>
        <v/>
      </c>
      <c r="G360" s="366" t="str">
        <f t="shared" si="12"/>
        <v/>
      </c>
    </row>
    <row r="361" spans="1:7" x14ac:dyDescent="0.35">
      <c r="A361" s="362" t="s">
        <v>2032</v>
      </c>
      <c r="B361" s="225" t="s">
        <v>1642</v>
      </c>
      <c r="C361" s="334" t="s">
        <v>82</v>
      </c>
      <c r="D361" s="341" t="s">
        <v>82</v>
      </c>
      <c r="E361" s="223"/>
      <c r="F361" s="366" t="str">
        <f t="shared" si="11"/>
        <v/>
      </c>
      <c r="G361" s="366" t="str">
        <f t="shared" si="12"/>
        <v/>
      </c>
    </row>
    <row r="362" spans="1:7" s="361" customFormat="1" x14ac:dyDescent="0.35">
      <c r="A362" s="362" t="s">
        <v>2153</v>
      </c>
      <c r="B362" s="368" t="s">
        <v>2694</v>
      </c>
      <c r="C362" s="245" t="s">
        <v>82</v>
      </c>
      <c r="D362" s="367" t="s">
        <v>82</v>
      </c>
      <c r="E362" s="377"/>
      <c r="F362" s="366" t="str">
        <f t="shared" si="11"/>
        <v/>
      </c>
      <c r="G362" s="366" t="str">
        <f t="shared" si="12"/>
        <v/>
      </c>
    </row>
    <row r="363" spans="1:7" s="361" customFormat="1" x14ac:dyDescent="0.35">
      <c r="A363" s="362" t="s">
        <v>2154</v>
      </c>
      <c r="B363" s="367" t="s">
        <v>2697</v>
      </c>
      <c r="C363" s="245" t="s">
        <v>82</v>
      </c>
      <c r="D363" s="367" t="s">
        <v>82</v>
      </c>
      <c r="E363" s="108"/>
      <c r="F363" s="366" t="str">
        <f t="shared" si="11"/>
        <v/>
      </c>
      <c r="G363" s="366" t="str">
        <f t="shared" si="12"/>
        <v/>
      </c>
    </row>
    <row r="364" spans="1:7" s="361" customFormat="1" x14ac:dyDescent="0.35">
      <c r="A364" s="362" t="s">
        <v>2155</v>
      </c>
      <c r="B364" s="367" t="s">
        <v>2695</v>
      </c>
      <c r="C364" s="245" t="s">
        <v>82</v>
      </c>
      <c r="D364" s="367" t="s">
        <v>82</v>
      </c>
      <c r="E364" s="108"/>
      <c r="F364" s="366" t="str">
        <f t="shared" si="11"/>
        <v/>
      </c>
      <c r="G364" s="366" t="str">
        <f t="shared" si="12"/>
        <v/>
      </c>
    </row>
    <row r="365" spans="1:7" s="361" customFormat="1" x14ac:dyDescent="0.35">
      <c r="A365" s="362" t="s">
        <v>2718</v>
      </c>
      <c r="B365" s="368" t="s">
        <v>2696</v>
      </c>
      <c r="C365" s="245" t="s">
        <v>82</v>
      </c>
      <c r="D365" s="367" t="s">
        <v>82</v>
      </c>
      <c r="E365" s="377"/>
      <c r="F365" s="366" t="str">
        <f t="shared" si="11"/>
        <v/>
      </c>
      <c r="G365" s="366" t="str">
        <f t="shared" si="12"/>
        <v/>
      </c>
    </row>
    <row r="366" spans="1:7" s="361" customFormat="1" x14ac:dyDescent="0.35">
      <c r="A366" s="362" t="s">
        <v>2719</v>
      </c>
      <c r="B366" s="367" t="s">
        <v>2037</v>
      </c>
      <c r="C366" s="381" t="s">
        <v>82</v>
      </c>
      <c r="D366" s="382" t="s">
        <v>82</v>
      </c>
      <c r="E366" s="377"/>
      <c r="F366" s="366" t="str">
        <f t="shared" si="11"/>
        <v/>
      </c>
      <c r="G366" s="366" t="str">
        <f t="shared" si="12"/>
        <v/>
      </c>
    </row>
    <row r="367" spans="1:7" s="361" customFormat="1" x14ac:dyDescent="0.35">
      <c r="A367" s="362" t="s">
        <v>2720</v>
      </c>
      <c r="B367" s="368" t="s">
        <v>145</v>
      </c>
      <c r="C367" s="381">
        <f>SUM(C354:C366)</f>
        <v>0</v>
      </c>
      <c r="D367" s="382">
        <f>SUM(D354:D366)</f>
        <v>0</v>
      </c>
      <c r="E367" s="377"/>
      <c r="F367" s="364">
        <f>SUM(F354:F366)</f>
        <v>0</v>
      </c>
      <c r="G367" s="364">
        <f>SUM(G354:G366)</f>
        <v>0</v>
      </c>
    </row>
    <row r="368" spans="1:7" s="361" customFormat="1" x14ac:dyDescent="0.35">
      <c r="A368" s="362" t="s">
        <v>1942</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5">
      <c r="A369" s="362" t="s">
        <v>2723</v>
      </c>
      <c r="B369" s="261"/>
      <c r="C369" s="334"/>
      <c r="D369" s="341"/>
      <c r="E369" s="260"/>
      <c r="F369" s="365"/>
      <c r="G369" s="365"/>
    </row>
    <row r="370" spans="1:7" s="361" customFormat="1" x14ac:dyDescent="0.35">
      <c r="A370" s="362" t="s">
        <v>2724</v>
      </c>
      <c r="B370" s="261"/>
      <c r="C370" s="334"/>
      <c r="D370" s="341"/>
      <c r="E370" s="260"/>
      <c r="F370" s="365"/>
      <c r="G370" s="365"/>
    </row>
    <row r="371" spans="1:7" s="361" customFormat="1" x14ac:dyDescent="0.35">
      <c r="A371" s="362" t="s">
        <v>2725</v>
      </c>
      <c r="B371" s="261"/>
      <c r="C371" s="334"/>
      <c r="D371" s="341"/>
      <c r="E371" s="260"/>
      <c r="F371" s="365"/>
      <c r="G371" s="365"/>
    </row>
    <row r="372" spans="1:7" s="361" customFormat="1" x14ac:dyDescent="0.35">
      <c r="A372" s="362" t="s">
        <v>2726</v>
      </c>
      <c r="B372" s="261"/>
      <c r="C372" s="334"/>
      <c r="D372" s="341"/>
      <c r="E372" s="260"/>
      <c r="F372" s="365"/>
      <c r="G372" s="365"/>
    </row>
    <row r="373" spans="1:7" x14ac:dyDescent="0.35">
      <c r="A373" s="362" t="s">
        <v>2727</v>
      </c>
      <c r="B373" s="261"/>
      <c r="C373" s="334"/>
      <c r="D373" s="341"/>
      <c r="E373" s="260"/>
      <c r="F373" s="365"/>
      <c r="G373" s="365"/>
    </row>
    <row r="374" spans="1:7" s="258" customFormat="1" x14ac:dyDescent="0.35">
      <c r="A374" s="362" t="s">
        <v>2728</v>
      </c>
      <c r="B374" s="261"/>
      <c r="C374" s="334"/>
      <c r="D374" s="341"/>
      <c r="E374" s="260"/>
      <c r="F374" s="365"/>
      <c r="G374" s="365"/>
    </row>
    <row r="375" spans="1:7" x14ac:dyDescent="0.35">
      <c r="A375" s="362" t="s">
        <v>2729</v>
      </c>
      <c r="B375" s="261"/>
      <c r="C375" s="187"/>
      <c r="D375" s="188"/>
      <c r="E375" s="260"/>
      <c r="F375" s="249"/>
      <c r="G375" s="249"/>
    </row>
    <row r="376" spans="1:7" x14ac:dyDescent="0.35">
      <c r="A376" s="362" t="s">
        <v>2730</v>
      </c>
      <c r="B376" s="261"/>
      <c r="C376" s="362"/>
      <c r="D376" s="362"/>
      <c r="E376" s="260"/>
      <c r="F376" s="260"/>
      <c r="G376" s="260"/>
    </row>
    <row r="377" spans="1:7" s="361" customFormat="1" x14ac:dyDescent="0.35">
      <c r="A377" s="362" t="s">
        <v>2731</v>
      </c>
      <c r="B377" s="261"/>
      <c r="C377" s="362"/>
      <c r="D377" s="362"/>
      <c r="E377" s="260"/>
      <c r="F377" s="260"/>
      <c r="G377" s="260"/>
    </row>
    <row r="378" spans="1:7" x14ac:dyDescent="0.35">
      <c r="A378" s="85"/>
      <c r="B378" s="85" t="s">
        <v>2149</v>
      </c>
      <c r="C378" s="85" t="s">
        <v>112</v>
      </c>
      <c r="D378" s="85" t="s">
        <v>1643</v>
      </c>
      <c r="E378" s="85"/>
      <c r="F378" s="85" t="s">
        <v>486</v>
      </c>
      <c r="G378" s="85" t="s">
        <v>2294</v>
      </c>
    </row>
    <row r="379" spans="1:7" x14ac:dyDescent="0.35">
      <c r="A379" s="259" t="s">
        <v>2033</v>
      </c>
      <c r="B379" s="261" t="s">
        <v>2025</v>
      </c>
      <c r="C379" s="334" t="s">
        <v>82</v>
      </c>
      <c r="D379" s="341" t="s">
        <v>82</v>
      </c>
      <c r="E379" s="260"/>
      <c r="F379" s="244" t="str">
        <f>IF($C$386=0,"",IF(C379="[for completion]","",IF(C379="","",C379/$C$386)))</f>
        <v/>
      </c>
      <c r="G379" s="244" t="str">
        <f>IF($D$386=0,"",IF(D379="[for completion]","",IF(D379="","",D379/$D$386)))</f>
        <v/>
      </c>
    </row>
    <row r="380" spans="1:7" x14ac:dyDescent="0.35">
      <c r="A380" s="275" t="s">
        <v>2034</v>
      </c>
      <c r="B380" s="266" t="s">
        <v>2026</v>
      </c>
      <c r="C380" s="334" t="s">
        <v>82</v>
      </c>
      <c r="D380" s="341" t="s">
        <v>82</v>
      </c>
      <c r="E380" s="260"/>
      <c r="F380" s="244" t="str">
        <f>IF($C$386=0,"",IF(C380="[for completion]","",IF(C380="","",C380/$C$386)))</f>
        <v/>
      </c>
      <c r="G380" s="244" t="str">
        <f t="shared" ref="G380:G385" si="15">IF($D$386=0,"",IF(D380="[for completion]","",IF(D380="","",D380/$D$386)))</f>
        <v/>
      </c>
    </row>
    <row r="381" spans="1:7" x14ac:dyDescent="0.35">
      <c r="A381" s="275" t="s">
        <v>2035</v>
      </c>
      <c r="B381" s="261" t="s">
        <v>2027</v>
      </c>
      <c r="C381" s="334" t="s">
        <v>82</v>
      </c>
      <c r="D381" s="341" t="s">
        <v>82</v>
      </c>
      <c r="E381" s="260"/>
      <c r="F381" s="244" t="str">
        <f t="shared" ref="F381:F385" si="16">IF($C$386=0,"",IF(C381="[for completion]","",IF(C381="","",C381/$C$386)))</f>
        <v/>
      </c>
      <c r="G381" s="244" t="str">
        <f t="shared" si="15"/>
        <v/>
      </c>
    </row>
    <row r="382" spans="1:7" x14ac:dyDescent="0.35">
      <c r="A382" s="275" t="s">
        <v>2036</v>
      </c>
      <c r="B382" s="261" t="s">
        <v>2028</v>
      </c>
      <c r="C382" s="334" t="s">
        <v>82</v>
      </c>
      <c r="D382" s="341" t="s">
        <v>82</v>
      </c>
      <c r="E382" s="260"/>
      <c r="F382" s="244" t="str">
        <f t="shared" si="16"/>
        <v/>
      </c>
      <c r="G382" s="244" t="str">
        <f t="shared" si="15"/>
        <v/>
      </c>
    </row>
    <row r="383" spans="1:7" x14ac:dyDescent="0.35">
      <c r="A383" s="275" t="s">
        <v>2038</v>
      </c>
      <c r="B383" s="261" t="s">
        <v>2029</v>
      </c>
      <c r="C383" s="334" t="s">
        <v>82</v>
      </c>
      <c r="D383" s="341" t="s">
        <v>82</v>
      </c>
      <c r="E383" s="260"/>
      <c r="F383" s="244" t="str">
        <f t="shared" si="16"/>
        <v/>
      </c>
      <c r="G383" s="244" t="str">
        <f t="shared" si="15"/>
        <v/>
      </c>
    </row>
    <row r="384" spans="1:7" x14ac:dyDescent="0.35">
      <c r="A384" s="275" t="s">
        <v>2150</v>
      </c>
      <c r="B384" s="261" t="s">
        <v>2030</v>
      </c>
      <c r="C384" s="334" t="s">
        <v>82</v>
      </c>
      <c r="D384" s="341" t="s">
        <v>82</v>
      </c>
      <c r="E384" s="260"/>
      <c r="F384" s="244" t="str">
        <f t="shared" si="16"/>
        <v/>
      </c>
      <c r="G384" s="244" t="str">
        <f t="shared" si="15"/>
        <v/>
      </c>
    </row>
    <row r="385" spans="1:7" x14ac:dyDescent="0.35">
      <c r="A385" s="275" t="s">
        <v>2151</v>
      </c>
      <c r="B385" s="261" t="s">
        <v>1644</v>
      </c>
      <c r="C385" s="334" t="s">
        <v>82</v>
      </c>
      <c r="D385" s="341" t="s">
        <v>82</v>
      </c>
      <c r="E385" s="260"/>
      <c r="F385" s="244" t="str">
        <f t="shared" si="16"/>
        <v/>
      </c>
      <c r="G385" s="244" t="str">
        <f t="shared" si="15"/>
        <v/>
      </c>
    </row>
    <row r="386" spans="1:7" x14ac:dyDescent="0.35">
      <c r="A386" s="275" t="s">
        <v>2152</v>
      </c>
      <c r="B386" s="261" t="s">
        <v>145</v>
      </c>
      <c r="C386" s="187">
        <f>SUM(C379:C385)</f>
        <v>0</v>
      </c>
      <c r="D386" s="188">
        <f>SUM(D379:D385)</f>
        <v>0</v>
      </c>
      <c r="E386" s="260"/>
      <c r="F386" s="249">
        <f>SUM(F379:F385)</f>
        <v>0</v>
      </c>
      <c r="G386" s="249">
        <f>SUM(G379:G385)</f>
        <v>0</v>
      </c>
    </row>
    <row r="387" spans="1:7" x14ac:dyDescent="0.35">
      <c r="A387" s="259" t="s">
        <v>2039</v>
      </c>
      <c r="B387" s="261"/>
      <c r="C387" s="259"/>
      <c r="D387" s="259"/>
      <c r="E387" s="260"/>
      <c r="F387" s="260"/>
      <c r="G387" s="260"/>
    </row>
    <row r="388" spans="1:7" x14ac:dyDescent="0.35">
      <c r="A388" s="85"/>
      <c r="B388" s="85" t="s">
        <v>2292</v>
      </c>
      <c r="C388" s="85" t="s">
        <v>112</v>
      </c>
      <c r="D388" s="85" t="s">
        <v>1643</v>
      </c>
      <c r="E388" s="85"/>
      <c r="F388" s="85" t="s">
        <v>486</v>
      </c>
      <c r="G388" s="85" t="s">
        <v>2294</v>
      </c>
    </row>
    <row r="389" spans="1:7" x14ac:dyDescent="0.35">
      <c r="A389" s="259" t="s">
        <v>2133</v>
      </c>
      <c r="B389" s="261" t="s">
        <v>2293</v>
      </c>
      <c r="C389" s="334" t="s">
        <v>82</v>
      </c>
      <c r="D389" s="341" t="s">
        <v>82</v>
      </c>
      <c r="E389" s="260"/>
      <c r="F389" s="244" t="str">
        <f>IF($C$393=0,"",IF(C389="[for completion]","",IF(C389="","",C389/$C$393)))</f>
        <v/>
      </c>
      <c r="G389" s="244" t="str">
        <f>IF($D$393=0,"",IF(D389="[for completion]","",IF(D389="","",D389/$D$393)))</f>
        <v/>
      </c>
    </row>
    <row r="390" spans="1:7" x14ac:dyDescent="0.35">
      <c r="A390" s="275" t="s">
        <v>2134</v>
      </c>
      <c r="B390" s="266" t="s">
        <v>2220</v>
      </c>
      <c r="C390" s="334" t="s">
        <v>82</v>
      </c>
      <c r="D390" s="341" t="s">
        <v>82</v>
      </c>
      <c r="E390" s="260"/>
      <c r="F390" s="244" t="str">
        <f>IF($C$393=0,"",IF(C390="[for completion]","",IF(C390="","",C390/$C$393)))</f>
        <v/>
      </c>
      <c r="G390" s="244" t="str">
        <f>IF($D$393=0,"",IF(D390="[for completion]","",IF(D390="","",D390/$D$393)))</f>
        <v/>
      </c>
    </row>
    <row r="391" spans="1:7" x14ac:dyDescent="0.35">
      <c r="A391" s="275" t="s">
        <v>2135</v>
      </c>
      <c r="B391" s="261" t="s">
        <v>1644</v>
      </c>
      <c r="C391" s="334" t="s">
        <v>82</v>
      </c>
      <c r="D391" s="341" t="s">
        <v>82</v>
      </c>
      <c r="E391" s="260"/>
      <c r="F391" s="244" t="str">
        <f>IF($C$393=0,"",IF(C391="[for completion]","",IF(C391="","",C391/$C$393)))</f>
        <v/>
      </c>
      <c r="G391" s="244" t="str">
        <f>IF($D$393=0,"",IF(D391="[for completion]","",IF(D391="","",D391/$D$393)))</f>
        <v/>
      </c>
    </row>
    <row r="392" spans="1:7" x14ac:dyDescent="0.35">
      <c r="A392" s="275" t="s">
        <v>2136</v>
      </c>
      <c r="B392" s="264" t="s">
        <v>2037</v>
      </c>
      <c r="C392" s="334" t="s">
        <v>82</v>
      </c>
      <c r="D392" s="341" t="s">
        <v>82</v>
      </c>
      <c r="E392" s="260"/>
      <c r="F392" s="244" t="str">
        <f>IF($C$393=0,"",IF(C392="[for completion]","",IF(C392="","",C392/$C$393)))</f>
        <v/>
      </c>
      <c r="G392" s="244" t="str">
        <f>IF($D$393=0,"",IF(D392="[for completion]","",IF(D392="","",D392/$D$393)))</f>
        <v/>
      </c>
    </row>
    <row r="393" spans="1:7" x14ac:dyDescent="0.35">
      <c r="A393" s="275" t="s">
        <v>2137</v>
      </c>
      <c r="B393" s="261" t="s">
        <v>145</v>
      </c>
      <c r="C393" s="187">
        <f>SUM(C389:C392)</f>
        <v>0</v>
      </c>
      <c r="D393" s="188">
        <f>SUM(D389:D392)</f>
        <v>0</v>
      </c>
      <c r="E393" s="260"/>
      <c r="F393" s="249">
        <f>SUM(F389:F392)</f>
        <v>0</v>
      </c>
      <c r="G393" s="249">
        <f>SUM(G389:G392)</f>
        <v>0</v>
      </c>
    </row>
    <row r="394" spans="1:7" x14ac:dyDescent="0.35">
      <c r="A394" s="259" t="s">
        <v>2138</v>
      </c>
      <c r="B394" s="264"/>
      <c r="C394" s="265"/>
      <c r="D394" s="264"/>
      <c r="E394" s="262"/>
      <c r="F394" s="262"/>
      <c r="G394" s="262"/>
    </row>
    <row r="395" spans="1:7" x14ac:dyDescent="0.35">
      <c r="A395" s="85"/>
      <c r="B395" s="85" t="s">
        <v>2685</v>
      </c>
      <c r="C395" s="85" t="s">
        <v>2682</v>
      </c>
      <c r="D395" s="85" t="s">
        <v>2683</v>
      </c>
      <c r="E395" s="85"/>
      <c r="F395" s="85" t="s">
        <v>2684</v>
      </c>
      <c r="G395" s="85"/>
    </row>
    <row r="396" spans="1:7" s="258" customFormat="1" x14ac:dyDescent="0.35">
      <c r="A396" s="329" t="s">
        <v>2340</v>
      </c>
      <c r="B396" s="368" t="s">
        <v>2025</v>
      </c>
      <c r="C396" s="379" t="s">
        <v>82</v>
      </c>
      <c r="D396" s="384" t="s">
        <v>82</v>
      </c>
      <c r="E396" s="345"/>
      <c r="F396" s="384" t="s">
        <v>82</v>
      </c>
      <c r="G396" s="244" t="str">
        <f>IF($D$414=0,"",IF(D396="[for completion]","",IF(D396="","",D396/$D$414)))</f>
        <v/>
      </c>
    </row>
    <row r="397" spans="1:7" x14ac:dyDescent="0.35">
      <c r="A397" s="329" t="s">
        <v>2341</v>
      </c>
      <c r="B397" s="380" t="s">
        <v>2026</v>
      </c>
      <c r="C397" s="379" t="s">
        <v>82</v>
      </c>
      <c r="D397" s="384" t="s">
        <v>82</v>
      </c>
      <c r="E397" s="345"/>
      <c r="F397" s="384" t="s">
        <v>82</v>
      </c>
      <c r="G397" s="244" t="str">
        <f t="shared" ref="G397:G405" si="17">IF($D$414=0,"",IF(D397="[for completion]","",IF(D397="","",D397/$D$414)))</f>
        <v/>
      </c>
    </row>
    <row r="398" spans="1:7" x14ac:dyDescent="0.35">
      <c r="A398" s="329" t="s">
        <v>2342</v>
      </c>
      <c r="B398" s="368" t="s">
        <v>2027</v>
      </c>
      <c r="C398" s="379" t="s">
        <v>82</v>
      </c>
      <c r="D398" s="384" t="s">
        <v>82</v>
      </c>
      <c r="E398" s="345"/>
      <c r="F398" s="384" t="s">
        <v>82</v>
      </c>
      <c r="G398" s="244" t="str">
        <f t="shared" si="17"/>
        <v/>
      </c>
    </row>
    <row r="399" spans="1:7" x14ac:dyDescent="0.35">
      <c r="A399" s="329" t="s">
        <v>2343</v>
      </c>
      <c r="B399" s="368" t="s">
        <v>2028</v>
      </c>
      <c r="C399" s="379" t="s">
        <v>82</v>
      </c>
      <c r="D399" s="384" t="s">
        <v>82</v>
      </c>
      <c r="E399" s="345"/>
      <c r="F399" s="384" t="s">
        <v>82</v>
      </c>
      <c r="G399" s="244" t="str">
        <f t="shared" si="17"/>
        <v/>
      </c>
    </row>
    <row r="400" spans="1:7" x14ac:dyDescent="0.35">
      <c r="A400" s="329" t="s">
        <v>2344</v>
      </c>
      <c r="B400" s="368" t="s">
        <v>2029</v>
      </c>
      <c r="C400" s="379" t="s">
        <v>82</v>
      </c>
      <c r="D400" s="384" t="s">
        <v>82</v>
      </c>
      <c r="E400" s="345"/>
      <c r="F400" s="384" t="s">
        <v>82</v>
      </c>
      <c r="G400" s="244" t="str">
        <f t="shared" si="17"/>
        <v/>
      </c>
    </row>
    <row r="401" spans="1:7" x14ac:dyDescent="0.35">
      <c r="A401" s="329" t="s">
        <v>2345</v>
      </c>
      <c r="B401" s="368" t="s">
        <v>2030</v>
      </c>
      <c r="C401" s="379" t="s">
        <v>82</v>
      </c>
      <c r="D401" s="384" t="s">
        <v>82</v>
      </c>
      <c r="E401" s="345"/>
      <c r="F401" s="384" t="s">
        <v>82</v>
      </c>
      <c r="G401" s="244" t="str">
        <f t="shared" si="17"/>
        <v/>
      </c>
    </row>
    <row r="402" spans="1:7" x14ac:dyDescent="0.35">
      <c r="A402" s="329" t="s">
        <v>2346</v>
      </c>
      <c r="B402" s="368" t="s">
        <v>1644</v>
      </c>
      <c r="C402" s="379" t="s">
        <v>82</v>
      </c>
      <c r="D402" s="384" t="s">
        <v>82</v>
      </c>
      <c r="E402" s="345"/>
      <c r="F402" s="384" t="s">
        <v>82</v>
      </c>
      <c r="G402" s="244" t="str">
        <f t="shared" si="17"/>
        <v/>
      </c>
    </row>
    <row r="403" spans="1:7" x14ac:dyDescent="0.35">
      <c r="A403" s="329" t="s">
        <v>2347</v>
      </c>
      <c r="B403" s="368" t="s">
        <v>2037</v>
      </c>
      <c r="C403" s="379" t="s">
        <v>82</v>
      </c>
      <c r="D403" s="384" t="s">
        <v>82</v>
      </c>
      <c r="E403" s="345"/>
      <c r="F403" s="384" t="s">
        <v>82</v>
      </c>
      <c r="G403" s="244" t="str">
        <f t="shared" si="17"/>
        <v/>
      </c>
    </row>
    <row r="404" spans="1:7" x14ac:dyDescent="0.35">
      <c r="A404" s="329" t="s">
        <v>2348</v>
      </c>
      <c r="B404" s="368" t="s">
        <v>145</v>
      </c>
      <c r="C404" s="381">
        <v>0</v>
      </c>
      <c r="D404" s="381">
        <v>0</v>
      </c>
      <c r="E404" s="345"/>
      <c r="F404" s="367"/>
      <c r="G404" s="244" t="str">
        <f t="shared" si="17"/>
        <v/>
      </c>
    </row>
    <row r="405" spans="1:7" x14ac:dyDescent="0.35">
      <c r="A405" s="329" t="s">
        <v>2349</v>
      </c>
      <c r="B405" s="264" t="s">
        <v>2681</v>
      </c>
      <c r="C405" s="264"/>
      <c r="D405" s="264"/>
      <c r="E405" s="264"/>
      <c r="F405" s="339" t="s">
        <v>82</v>
      </c>
      <c r="G405" s="244" t="str">
        <f t="shared" si="17"/>
        <v/>
      </c>
    </row>
    <row r="406" spans="1:7" x14ac:dyDescent="0.35">
      <c r="A406" s="329" t="s">
        <v>2350</v>
      </c>
      <c r="B406" s="357"/>
      <c r="C406" s="329"/>
      <c r="D406" s="329"/>
      <c r="E406" s="345"/>
      <c r="F406" s="244"/>
      <c r="G406" s="244"/>
    </row>
    <row r="407" spans="1:7" x14ac:dyDescent="0.35">
      <c r="A407" s="329" t="s">
        <v>2351</v>
      </c>
      <c r="B407" s="357"/>
      <c r="C407" s="329"/>
      <c r="D407" s="329"/>
      <c r="E407" s="345"/>
      <c r="F407" s="244"/>
      <c r="G407" s="244"/>
    </row>
    <row r="408" spans="1:7" x14ac:dyDescent="0.35">
      <c r="A408" s="329" t="s">
        <v>2352</v>
      </c>
      <c r="B408" s="357"/>
      <c r="C408" s="329"/>
      <c r="D408" s="329"/>
      <c r="E408" s="345"/>
      <c r="F408" s="244"/>
      <c r="G408" s="244"/>
    </row>
    <row r="409" spans="1:7" x14ac:dyDescent="0.35">
      <c r="A409" s="329" t="s">
        <v>2353</v>
      </c>
      <c r="B409" s="357"/>
      <c r="C409" s="329"/>
      <c r="D409" s="329"/>
      <c r="E409" s="345"/>
      <c r="F409" s="244"/>
      <c r="G409" s="244"/>
    </row>
    <row r="410" spans="1:7" x14ac:dyDescent="0.35">
      <c r="A410" s="329" t="s">
        <v>2354</v>
      </c>
      <c r="B410" s="357"/>
      <c r="C410" s="329"/>
      <c r="D410" s="329"/>
      <c r="E410" s="345"/>
      <c r="F410" s="244"/>
      <c r="G410" s="244"/>
    </row>
    <row r="411" spans="1:7" x14ac:dyDescent="0.35">
      <c r="A411" s="329" t="s">
        <v>2355</v>
      </c>
      <c r="B411" s="357"/>
      <c r="C411" s="329"/>
      <c r="D411" s="329"/>
      <c r="E411" s="345"/>
      <c r="F411" s="244"/>
      <c r="G411" s="244"/>
    </row>
    <row r="412" spans="1:7" x14ac:dyDescent="0.35">
      <c r="A412" s="329" t="s">
        <v>2356</v>
      </c>
      <c r="B412" s="357"/>
      <c r="C412" s="329"/>
      <c r="D412" s="329"/>
      <c r="E412" s="345"/>
      <c r="F412" s="244"/>
      <c r="G412" s="244"/>
    </row>
    <row r="413" spans="1:7" x14ac:dyDescent="0.35">
      <c r="A413" s="329" t="s">
        <v>2357</v>
      </c>
      <c r="B413" s="344"/>
      <c r="C413" s="329"/>
      <c r="D413" s="329"/>
      <c r="E413" s="345"/>
      <c r="F413" s="244"/>
      <c r="G413" s="244"/>
    </row>
    <row r="414" spans="1:7" x14ac:dyDescent="0.35">
      <c r="A414" s="329" t="s">
        <v>2358</v>
      </c>
      <c r="B414" s="344"/>
      <c r="C414" s="187"/>
      <c r="D414" s="329"/>
      <c r="E414" s="345"/>
      <c r="F414" s="349"/>
      <c r="G414" s="349"/>
    </row>
    <row r="415" spans="1:7" x14ac:dyDescent="0.35">
      <c r="A415" s="329" t="s">
        <v>2359</v>
      </c>
      <c r="B415" s="329"/>
      <c r="C415" s="346"/>
      <c r="D415" s="329"/>
      <c r="E415" s="345"/>
      <c r="F415" s="345"/>
      <c r="G415" s="345"/>
    </row>
    <row r="416" spans="1:7" x14ac:dyDescent="0.35">
      <c r="A416" s="329" t="s">
        <v>2360</v>
      </c>
      <c r="B416" s="329"/>
      <c r="C416" s="346"/>
      <c r="D416" s="329"/>
      <c r="E416" s="345"/>
      <c r="F416" s="345"/>
      <c r="G416" s="345"/>
    </row>
    <row r="417" spans="1:7" x14ac:dyDescent="0.35">
      <c r="A417" s="329" t="s">
        <v>2361</v>
      </c>
      <c r="B417" s="329"/>
      <c r="C417" s="346"/>
      <c r="D417" s="329"/>
      <c r="E417" s="345"/>
      <c r="F417" s="345"/>
      <c r="G417" s="345"/>
    </row>
    <row r="418" spans="1:7" x14ac:dyDescent="0.35">
      <c r="A418" s="329" t="s">
        <v>2362</v>
      </c>
      <c r="B418" s="329"/>
      <c r="C418" s="346"/>
      <c r="D418" s="329"/>
      <c r="E418" s="345"/>
      <c r="F418" s="345"/>
      <c r="G418" s="345"/>
    </row>
    <row r="419" spans="1:7" x14ac:dyDescent="0.35">
      <c r="A419" s="329" t="s">
        <v>2363</v>
      </c>
      <c r="B419" s="329"/>
      <c r="C419" s="346"/>
      <c r="D419" s="329"/>
      <c r="E419" s="345"/>
      <c r="F419" s="345"/>
      <c r="G419" s="345"/>
    </row>
    <row r="420" spans="1:7" x14ac:dyDescent="0.35">
      <c r="A420" s="329" t="s">
        <v>2364</v>
      </c>
      <c r="B420" s="329"/>
      <c r="C420" s="346"/>
      <c r="D420" s="329"/>
      <c r="E420" s="345"/>
      <c r="F420" s="345"/>
      <c r="G420" s="345"/>
    </row>
    <row r="421" spans="1:7" x14ac:dyDescent="0.35">
      <c r="A421" s="329" t="s">
        <v>2365</v>
      </c>
      <c r="B421" s="329"/>
      <c r="C421" s="346"/>
      <c r="D421" s="329"/>
      <c r="E421" s="345"/>
      <c r="F421" s="345"/>
      <c r="G421" s="345"/>
    </row>
    <row r="422" spans="1:7" x14ac:dyDescent="0.35">
      <c r="A422" s="329" t="s">
        <v>2366</v>
      </c>
      <c r="B422" s="329"/>
      <c r="C422" s="346"/>
      <c r="D422" s="329"/>
      <c r="E422" s="345"/>
      <c r="F422" s="345"/>
      <c r="G422" s="345"/>
    </row>
    <row r="423" spans="1:7" x14ac:dyDescent="0.35">
      <c r="A423" s="329" t="s">
        <v>2367</v>
      </c>
      <c r="B423" s="329"/>
      <c r="C423" s="346"/>
      <c r="D423" s="329"/>
      <c r="E423" s="345"/>
      <c r="F423" s="345"/>
      <c r="G423" s="345"/>
    </row>
    <row r="424" spans="1:7" x14ac:dyDescent="0.35">
      <c r="A424" s="329" t="s">
        <v>2368</v>
      </c>
      <c r="B424" s="329"/>
      <c r="C424" s="346"/>
      <c r="D424" s="329"/>
      <c r="E424" s="345"/>
      <c r="F424" s="345"/>
      <c r="G424" s="345"/>
    </row>
    <row r="425" spans="1:7" x14ac:dyDescent="0.35">
      <c r="A425" s="329" t="s">
        <v>2369</v>
      </c>
      <c r="B425" s="329"/>
      <c r="C425" s="346"/>
      <c r="D425" s="329"/>
      <c r="E425" s="345"/>
      <c r="F425" s="345"/>
      <c r="G425" s="345"/>
    </row>
    <row r="426" spans="1:7" x14ac:dyDescent="0.35">
      <c r="A426" s="329" t="s">
        <v>2370</v>
      </c>
      <c r="B426" s="329"/>
      <c r="C426" s="346"/>
      <c r="D426" s="329"/>
      <c r="E426" s="345"/>
      <c r="F426" s="345"/>
      <c r="G426" s="345"/>
    </row>
    <row r="427" spans="1:7" x14ac:dyDescent="0.35">
      <c r="A427" s="329" t="s">
        <v>2371</v>
      </c>
      <c r="B427" s="329"/>
      <c r="C427" s="346"/>
      <c r="D427" s="329"/>
      <c r="E427" s="345"/>
      <c r="F427" s="345"/>
      <c r="G427" s="345"/>
    </row>
    <row r="428" spans="1:7" x14ac:dyDescent="0.35">
      <c r="A428" s="329" t="s">
        <v>2372</v>
      </c>
      <c r="B428" s="329"/>
      <c r="C428" s="346"/>
      <c r="D428" s="329"/>
      <c r="E428" s="345"/>
      <c r="F428" s="345"/>
      <c r="G428" s="345"/>
    </row>
    <row r="429" spans="1:7" x14ac:dyDescent="0.35">
      <c r="A429" s="329" t="s">
        <v>2373</v>
      </c>
      <c r="B429" s="329"/>
      <c r="C429" s="346"/>
      <c r="D429" s="329"/>
      <c r="E429" s="345"/>
      <c r="F429" s="345"/>
      <c r="G429" s="345"/>
    </row>
    <row r="430" spans="1:7" x14ac:dyDescent="0.35">
      <c r="A430" s="329" t="s">
        <v>2374</v>
      </c>
      <c r="B430" s="329"/>
      <c r="C430" s="346"/>
      <c r="D430" s="329"/>
      <c r="E430" s="345"/>
      <c r="F430" s="345"/>
      <c r="G430" s="345"/>
    </row>
    <row r="431" spans="1:7" x14ac:dyDescent="0.35">
      <c r="A431" s="329" t="s">
        <v>2375</v>
      </c>
      <c r="B431" s="329"/>
      <c r="C431" s="346"/>
      <c r="D431" s="329"/>
      <c r="E431" s="345"/>
      <c r="F431" s="345"/>
      <c r="G431" s="345"/>
    </row>
    <row r="432" spans="1:7" x14ac:dyDescent="0.35">
      <c r="A432" s="329" t="s">
        <v>2376</v>
      </c>
      <c r="B432" s="329"/>
      <c r="C432" s="346"/>
      <c r="D432" s="329"/>
      <c r="E432" s="345"/>
      <c r="F432" s="345"/>
      <c r="G432" s="345"/>
    </row>
    <row r="433" spans="1:7" x14ac:dyDescent="0.35">
      <c r="A433" s="329" t="s">
        <v>2377</v>
      </c>
      <c r="B433" s="329"/>
      <c r="C433" s="346"/>
      <c r="D433" s="329"/>
      <c r="E433" s="345"/>
      <c r="F433" s="345"/>
      <c r="G433" s="345"/>
    </row>
    <row r="434" spans="1:7" x14ac:dyDescent="0.35">
      <c r="A434" s="329" t="s">
        <v>2378</v>
      </c>
      <c r="B434" s="329"/>
      <c r="C434" s="346"/>
      <c r="D434" s="329"/>
      <c r="E434" s="345"/>
      <c r="F434" s="345"/>
      <c r="G434" s="345"/>
    </row>
    <row r="435" spans="1:7" x14ac:dyDescent="0.35">
      <c r="A435" s="329" t="s">
        <v>2379</v>
      </c>
      <c r="B435" s="329"/>
      <c r="C435" s="346"/>
      <c r="D435" s="329"/>
      <c r="E435" s="345"/>
      <c r="F435" s="345"/>
      <c r="G435" s="345"/>
    </row>
    <row r="436" spans="1:7" x14ac:dyDescent="0.35">
      <c r="A436" s="329" t="s">
        <v>2380</v>
      </c>
      <c r="B436" s="329"/>
      <c r="C436" s="346"/>
      <c r="D436" s="329"/>
      <c r="E436" s="345"/>
      <c r="F436" s="345"/>
      <c r="G436" s="345"/>
    </row>
    <row r="437" spans="1:7" x14ac:dyDescent="0.35">
      <c r="A437" s="329" t="s">
        <v>2381</v>
      </c>
      <c r="B437" s="329"/>
      <c r="C437" s="346"/>
      <c r="D437" s="329"/>
      <c r="E437" s="345"/>
      <c r="F437" s="345"/>
      <c r="G437" s="345"/>
    </row>
    <row r="438" spans="1:7" x14ac:dyDescent="0.35">
      <c r="A438" s="329" t="s">
        <v>2382</v>
      </c>
      <c r="B438" s="329"/>
      <c r="C438" s="346"/>
      <c r="D438" s="329"/>
      <c r="E438" s="345"/>
      <c r="F438" s="345"/>
      <c r="G438" s="345"/>
    </row>
    <row r="439" spans="1:7" x14ac:dyDescent="0.35">
      <c r="A439" s="329" t="s">
        <v>2383</v>
      </c>
      <c r="B439" s="329"/>
      <c r="C439" s="346"/>
      <c r="D439" s="329"/>
      <c r="E439" s="345"/>
      <c r="F439" s="345"/>
      <c r="G439" s="345"/>
    </row>
    <row r="440" spans="1:7" x14ac:dyDescent="0.35">
      <c r="A440" s="329" t="s">
        <v>2384</v>
      </c>
      <c r="B440" s="329"/>
      <c r="C440" s="346"/>
      <c r="D440" s="329"/>
      <c r="E440" s="345"/>
      <c r="F440" s="345"/>
      <c r="G440" s="345"/>
    </row>
    <row r="441" spans="1:7" x14ac:dyDescent="0.35">
      <c r="A441" s="329" t="s">
        <v>2385</v>
      </c>
      <c r="B441" s="329"/>
      <c r="C441" s="346"/>
      <c r="D441" s="329"/>
      <c r="E441" s="345"/>
      <c r="F441" s="345"/>
      <c r="G441" s="345"/>
    </row>
    <row r="442" spans="1:7" x14ac:dyDescent="0.35">
      <c r="A442" s="329" t="s">
        <v>2386</v>
      </c>
      <c r="B442" s="329"/>
      <c r="C442" s="346"/>
      <c r="D442" s="329"/>
      <c r="E442" s="345"/>
      <c r="F442" s="345"/>
      <c r="G442" s="345"/>
    </row>
    <row r="443" spans="1:7" x14ac:dyDescent="0.35">
      <c r="A443" s="329" t="s">
        <v>2387</v>
      </c>
      <c r="B443" s="329"/>
      <c r="C443" s="346"/>
      <c r="D443" s="329"/>
      <c r="E443" s="345"/>
      <c r="F443" s="345"/>
      <c r="G443" s="345"/>
    </row>
    <row r="444" spans="1:7" ht="18.5" x14ac:dyDescent="0.35">
      <c r="A444" s="169"/>
      <c r="B444" s="255" t="s">
        <v>1943</v>
      </c>
      <c r="C444" s="169"/>
      <c r="D444" s="169"/>
      <c r="E444" s="169"/>
      <c r="F444" s="169"/>
      <c r="G444" s="169"/>
    </row>
    <row r="445" spans="1:7" x14ac:dyDescent="0.35">
      <c r="A445" s="85"/>
      <c r="B445" s="85" t="s">
        <v>2319</v>
      </c>
      <c r="C445" s="85" t="s">
        <v>656</v>
      </c>
      <c r="D445" s="85" t="s">
        <v>657</v>
      </c>
      <c r="E445" s="85"/>
      <c r="F445" s="85" t="s">
        <v>487</v>
      </c>
      <c r="G445" s="85" t="s">
        <v>658</v>
      </c>
    </row>
    <row r="446" spans="1:7" x14ac:dyDescent="0.35">
      <c r="A446" s="275" t="s">
        <v>1944</v>
      </c>
      <c r="B446" s="264" t="s">
        <v>660</v>
      </c>
      <c r="C446" s="334" t="s">
        <v>82</v>
      </c>
      <c r="D446" s="237"/>
      <c r="E446" s="237"/>
      <c r="F446" s="238"/>
      <c r="G446" s="238"/>
    </row>
    <row r="447" spans="1:7" x14ac:dyDescent="0.35">
      <c r="A447" s="237"/>
      <c r="B447" s="264"/>
      <c r="C447" s="228"/>
      <c r="D447" s="237"/>
      <c r="E447" s="237"/>
      <c r="F447" s="238"/>
      <c r="G447" s="238"/>
    </row>
    <row r="448" spans="1:7" x14ac:dyDescent="0.35">
      <c r="A448" s="264"/>
      <c r="B448" s="264" t="s">
        <v>661</v>
      </c>
      <c r="C448" s="228"/>
      <c r="D448" s="237"/>
      <c r="E448" s="237"/>
      <c r="F448" s="238"/>
      <c r="G448" s="238"/>
    </row>
    <row r="449" spans="1:7" x14ac:dyDescent="0.35">
      <c r="A449" s="264" t="s">
        <v>1945</v>
      </c>
      <c r="B449" s="333" t="s">
        <v>579</v>
      </c>
      <c r="C449" s="334" t="s">
        <v>82</v>
      </c>
      <c r="D449" s="334" t="s">
        <v>82</v>
      </c>
      <c r="E449" s="237"/>
      <c r="F449" s="244" t="str">
        <f>IF($C$473=0,"",IF(C449="[for completion]","",IF(C449="","",C449/$C$473)))</f>
        <v/>
      </c>
      <c r="G449" s="244" t="str">
        <f>IF($D$473=0,"",IF(D449="[for completion]","",IF(D449="","",D449/$D$473)))</f>
        <v/>
      </c>
    </row>
    <row r="450" spans="1:7" x14ac:dyDescent="0.35">
      <c r="A450" s="264" t="s">
        <v>1946</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35">
      <c r="A451" s="264" t="s">
        <v>1947</v>
      </c>
      <c r="B451" s="333" t="s">
        <v>579</v>
      </c>
      <c r="C451" s="334" t="s">
        <v>82</v>
      </c>
      <c r="D451" s="334" t="s">
        <v>82</v>
      </c>
      <c r="E451" s="237"/>
      <c r="F451" s="244" t="str">
        <f t="shared" si="18"/>
        <v/>
      </c>
      <c r="G451" s="244" t="str">
        <f t="shared" si="19"/>
        <v/>
      </c>
    </row>
    <row r="452" spans="1:7" x14ac:dyDescent="0.35">
      <c r="A452" s="264" t="s">
        <v>1948</v>
      </c>
      <c r="B452" s="333" t="s">
        <v>579</v>
      </c>
      <c r="C452" s="334" t="s">
        <v>82</v>
      </c>
      <c r="D452" s="334" t="s">
        <v>82</v>
      </c>
      <c r="E452" s="237"/>
      <c r="F452" s="244" t="str">
        <f t="shared" si="18"/>
        <v/>
      </c>
      <c r="G452" s="244" t="str">
        <f t="shared" si="19"/>
        <v/>
      </c>
    </row>
    <row r="453" spans="1:7" x14ac:dyDescent="0.35">
      <c r="A453" s="264" t="s">
        <v>1949</v>
      </c>
      <c r="B453" s="333" t="s">
        <v>579</v>
      </c>
      <c r="C453" s="334" t="s">
        <v>82</v>
      </c>
      <c r="D453" s="334" t="s">
        <v>82</v>
      </c>
      <c r="E453" s="237"/>
      <c r="F453" s="244" t="str">
        <f t="shared" si="18"/>
        <v/>
      </c>
      <c r="G453" s="244" t="str">
        <f t="shared" si="19"/>
        <v/>
      </c>
    </row>
    <row r="454" spans="1:7" x14ac:dyDescent="0.35">
      <c r="A454" s="264" t="s">
        <v>1950</v>
      </c>
      <c r="B454" s="333" t="s">
        <v>579</v>
      </c>
      <c r="C454" s="334" t="s">
        <v>82</v>
      </c>
      <c r="D454" s="334" t="s">
        <v>82</v>
      </c>
      <c r="E454" s="237"/>
      <c r="F454" s="244" t="str">
        <f t="shared" si="18"/>
        <v/>
      </c>
      <c r="G454" s="244" t="str">
        <f t="shared" si="19"/>
        <v/>
      </c>
    </row>
    <row r="455" spans="1:7" x14ac:dyDescent="0.35">
      <c r="A455" s="264" t="s">
        <v>1951</v>
      </c>
      <c r="B455" s="333" t="s">
        <v>579</v>
      </c>
      <c r="C455" s="334" t="s">
        <v>82</v>
      </c>
      <c r="D455" s="334" t="s">
        <v>82</v>
      </c>
      <c r="E455" s="237"/>
      <c r="F455" s="244" t="str">
        <f t="shared" si="18"/>
        <v/>
      </c>
      <c r="G455" s="244" t="str">
        <f t="shared" si="19"/>
        <v/>
      </c>
    </row>
    <row r="456" spans="1:7" x14ac:dyDescent="0.35">
      <c r="A456" s="264" t="s">
        <v>1952</v>
      </c>
      <c r="B456" s="333" t="s">
        <v>579</v>
      </c>
      <c r="C456" s="334" t="s">
        <v>82</v>
      </c>
      <c r="D456" s="341" t="s">
        <v>82</v>
      </c>
      <c r="E456" s="237"/>
      <c r="F456" s="244" t="str">
        <f t="shared" si="18"/>
        <v/>
      </c>
      <c r="G456" s="244" t="str">
        <f t="shared" si="19"/>
        <v/>
      </c>
    </row>
    <row r="457" spans="1:7" x14ac:dyDescent="0.35">
      <c r="A457" s="264" t="s">
        <v>1953</v>
      </c>
      <c r="B457" s="333" t="s">
        <v>579</v>
      </c>
      <c r="C457" s="334" t="s">
        <v>82</v>
      </c>
      <c r="D457" s="341" t="s">
        <v>82</v>
      </c>
      <c r="E457" s="237"/>
      <c r="F457" s="244" t="str">
        <f t="shared" si="18"/>
        <v/>
      </c>
      <c r="G457" s="244" t="str">
        <f t="shared" si="19"/>
        <v/>
      </c>
    </row>
    <row r="458" spans="1:7" x14ac:dyDescent="0.35">
      <c r="A458" s="264" t="s">
        <v>2388</v>
      </c>
      <c r="B458" s="333" t="s">
        <v>579</v>
      </c>
      <c r="C458" s="334" t="s">
        <v>82</v>
      </c>
      <c r="D458" s="341" t="s">
        <v>82</v>
      </c>
      <c r="E458" s="235"/>
      <c r="F458" s="244" t="str">
        <f t="shared" si="18"/>
        <v/>
      </c>
      <c r="G458" s="244" t="str">
        <f t="shared" si="19"/>
        <v/>
      </c>
    </row>
    <row r="459" spans="1:7" x14ac:dyDescent="0.35">
      <c r="A459" s="264" t="s">
        <v>2389</v>
      </c>
      <c r="B459" s="333" t="s">
        <v>579</v>
      </c>
      <c r="C459" s="334" t="s">
        <v>82</v>
      </c>
      <c r="D459" s="341" t="s">
        <v>82</v>
      </c>
      <c r="E459" s="235"/>
      <c r="F459" s="244" t="str">
        <f t="shared" si="18"/>
        <v/>
      </c>
      <c r="G459" s="244" t="str">
        <f t="shared" si="19"/>
        <v/>
      </c>
    </row>
    <row r="460" spans="1:7" x14ac:dyDescent="0.35">
      <c r="A460" s="264" t="s">
        <v>2390</v>
      </c>
      <c r="B460" s="333" t="s">
        <v>579</v>
      </c>
      <c r="C460" s="334" t="s">
        <v>82</v>
      </c>
      <c r="D460" s="341" t="s">
        <v>82</v>
      </c>
      <c r="E460" s="235"/>
      <c r="F460" s="244" t="str">
        <f t="shared" si="18"/>
        <v/>
      </c>
      <c r="G460" s="244" t="str">
        <f t="shared" si="19"/>
        <v/>
      </c>
    </row>
    <row r="461" spans="1:7" x14ac:dyDescent="0.35">
      <c r="A461" s="264" t="s">
        <v>2391</v>
      </c>
      <c r="B461" s="333" t="s">
        <v>579</v>
      </c>
      <c r="C461" s="334" t="s">
        <v>82</v>
      </c>
      <c r="D461" s="341" t="s">
        <v>82</v>
      </c>
      <c r="E461" s="235"/>
      <c r="F461" s="244" t="str">
        <f t="shared" si="18"/>
        <v/>
      </c>
      <c r="G461" s="244" t="str">
        <f t="shared" si="19"/>
        <v/>
      </c>
    </row>
    <row r="462" spans="1:7" x14ac:dyDescent="0.35">
      <c r="A462" s="264" t="s">
        <v>2392</v>
      </c>
      <c r="B462" s="333" t="s">
        <v>579</v>
      </c>
      <c r="C462" s="334" t="s">
        <v>82</v>
      </c>
      <c r="D462" s="341" t="s">
        <v>82</v>
      </c>
      <c r="E462" s="235"/>
      <c r="F462" s="244" t="str">
        <f t="shared" si="18"/>
        <v/>
      </c>
      <c r="G462" s="244" t="str">
        <f t="shared" si="19"/>
        <v/>
      </c>
    </row>
    <row r="463" spans="1:7" x14ac:dyDescent="0.35">
      <c r="A463" s="264" t="s">
        <v>2393</v>
      </c>
      <c r="B463" s="333" t="s">
        <v>579</v>
      </c>
      <c r="C463" s="334" t="s">
        <v>82</v>
      </c>
      <c r="D463" s="341" t="s">
        <v>82</v>
      </c>
      <c r="E463" s="235"/>
      <c r="F463" s="244" t="str">
        <f t="shared" si="18"/>
        <v/>
      </c>
      <c r="G463" s="244" t="str">
        <f t="shared" si="19"/>
        <v/>
      </c>
    </row>
    <row r="464" spans="1:7" x14ac:dyDescent="0.35">
      <c r="A464" s="264" t="s">
        <v>2394</v>
      </c>
      <c r="B464" s="333" t="s">
        <v>579</v>
      </c>
      <c r="C464" s="334" t="s">
        <v>82</v>
      </c>
      <c r="D464" s="341" t="s">
        <v>82</v>
      </c>
      <c r="E464" s="228"/>
      <c r="F464" s="244" t="str">
        <f t="shared" si="18"/>
        <v/>
      </c>
      <c r="G464" s="244" t="str">
        <f t="shared" si="19"/>
        <v/>
      </c>
    </row>
    <row r="465" spans="1:7" x14ac:dyDescent="0.35">
      <c r="A465" s="264" t="s">
        <v>2395</v>
      </c>
      <c r="B465" s="333" t="s">
        <v>579</v>
      </c>
      <c r="C465" s="334" t="s">
        <v>82</v>
      </c>
      <c r="D465" s="341" t="s">
        <v>82</v>
      </c>
      <c r="E465" s="231"/>
      <c r="F465" s="244" t="str">
        <f t="shared" si="18"/>
        <v/>
      </c>
      <c r="G465" s="244" t="str">
        <f t="shared" si="19"/>
        <v/>
      </c>
    </row>
    <row r="466" spans="1:7" x14ac:dyDescent="0.35">
      <c r="A466" s="264" t="s">
        <v>2396</v>
      </c>
      <c r="B466" s="333" t="s">
        <v>579</v>
      </c>
      <c r="C466" s="334" t="s">
        <v>82</v>
      </c>
      <c r="D466" s="341" t="s">
        <v>82</v>
      </c>
      <c r="E466" s="231"/>
      <c r="F466" s="244" t="str">
        <f t="shared" si="18"/>
        <v/>
      </c>
      <c r="G466" s="244" t="str">
        <f t="shared" si="19"/>
        <v/>
      </c>
    </row>
    <row r="467" spans="1:7" x14ac:dyDescent="0.35">
      <c r="A467" s="264" t="s">
        <v>2397</v>
      </c>
      <c r="B467" s="333" t="s">
        <v>579</v>
      </c>
      <c r="C467" s="334" t="s">
        <v>82</v>
      </c>
      <c r="D467" s="341" t="s">
        <v>82</v>
      </c>
      <c r="E467" s="231"/>
      <c r="F467" s="244" t="str">
        <f t="shared" si="18"/>
        <v/>
      </c>
      <c r="G467" s="244" t="str">
        <f t="shared" si="19"/>
        <v/>
      </c>
    </row>
    <row r="468" spans="1:7" x14ac:dyDescent="0.35">
      <c r="A468" s="264" t="s">
        <v>2398</v>
      </c>
      <c r="B468" s="333" t="s">
        <v>579</v>
      </c>
      <c r="C468" s="334" t="s">
        <v>82</v>
      </c>
      <c r="D468" s="341" t="s">
        <v>82</v>
      </c>
      <c r="E468" s="231"/>
      <c r="F468" s="244" t="str">
        <f t="shared" si="18"/>
        <v/>
      </c>
      <c r="G468" s="244" t="str">
        <f t="shared" si="19"/>
        <v/>
      </c>
    </row>
    <row r="469" spans="1:7" x14ac:dyDescent="0.35">
      <c r="A469" s="264" t="s">
        <v>2399</v>
      </c>
      <c r="B469" s="333" t="s">
        <v>579</v>
      </c>
      <c r="C469" s="334" t="s">
        <v>82</v>
      </c>
      <c r="D469" s="341" t="s">
        <v>82</v>
      </c>
      <c r="E469" s="231"/>
      <c r="F469" s="244" t="str">
        <f t="shared" si="18"/>
        <v/>
      </c>
      <c r="G469" s="244" t="str">
        <f t="shared" si="19"/>
        <v/>
      </c>
    </row>
    <row r="470" spans="1:7" x14ac:dyDescent="0.35">
      <c r="A470" s="264" t="s">
        <v>2400</v>
      </c>
      <c r="B470" s="333" t="s">
        <v>579</v>
      </c>
      <c r="C470" s="334" t="s">
        <v>82</v>
      </c>
      <c r="D470" s="341" t="s">
        <v>82</v>
      </c>
      <c r="E470" s="231"/>
      <c r="F470" s="244" t="str">
        <f t="shared" si="18"/>
        <v/>
      </c>
      <c r="G470" s="244" t="str">
        <f t="shared" si="19"/>
        <v/>
      </c>
    </row>
    <row r="471" spans="1:7" x14ac:dyDescent="0.35">
      <c r="A471" s="264" t="s">
        <v>2401</v>
      </c>
      <c r="B471" s="333" t="s">
        <v>579</v>
      </c>
      <c r="C471" s="334" t="s">
        <v>82</v>
      </c>
      <c r="D471" s="341" t="s">
        <v>82</v>
      </c>
      <c r="E471" s="231"/>
      <c r="F471" s="244" t="str">
        <f t="shared" si="18"/>
        <v/>
      </c>
      <c r="G471" s="244" t="str">
        <f t="shared" si="19"/>
        <v/>
      </c>
    </row>
    <row r="472" spans="1:7" x14ac:dyDescent="0.35">
      <c r="A472" s="264" t="s">
        <v>2402</v>
      </c>
      <c r="B472" s="333" t="s">
        <v>579</v>
      </c>
      <c r="C472" s="334" t="s">
        <v>82</v>
      </c>
      <c r="D472" s="341" t="s">
        <v>82</v>
      </c>
      <c r="E472" s="231"/>
      <c r="F472" s="244" t="str">
        <f t="shared" si="18"/>
        <v/>
      </c>
      <c r="G472" s="244" t="str">
        <f t="shared" si="19"/>
        <v/>
      </c>
    </row>
    <row r="473" spans="1:7" x14ac:dyDescent="0.35">
      <c r="A473" s="264" t="s">
        <v>2403</v>
      </c>
      <c r="B473" s="235" t="s">
        <v>145</v>
      </c>
      <c r="C473" s="250">
        <f>SUM(C449:C472)</f>
        <v>0</v>
      </c>
      <c r="D473" s="329">
        <f>SUM(D449:D472)</f>
        <v>0</v>
      </c>
      <c r="E473" s="231"/>
      <c r="F473" s="249">
        <f>SUM(F449:F472)</f>
        <v>0</v>
      </c>
      <c r="G473" s="249">
        <f>SUM(G449:G472)</f>
        <v>0</v>
      </c>
    </row>
    <row r="474" spans="1:7" x14ac:dyDescent="0.35">
      <c r="A474" s="85"/>
      <c r="B474" s="85" t="s">
        <v>2336</v>
      </c>
      <c r="C474" s="85" t="s">
        <v>656</v>
      </c>
      <c r="D474" s="85" t="s">
        <v>657</v>
      </c>
      <c r="E474" s="85"/>
      <c r="F474" s="85" t="s">
        <v>487</v>
      </c>
      <c r="G474" s="85" t="s">
        <v>658</v>
      </c>
    </row>
    <row r="475" spans="1:7" x14ac:dyDescent="0.35">
      <c r="A475" s="264" t="s">
        <v>1955</v>
      </c>
      <c r="B475" s="228" t="s">
        <v>689</v>
      </c>
      <c r="C475" s="340" t="s">
        <v>82</v>
      </c>
      <c r="D475" s="228"/>
      <c r="E475" s="228"/>
      <c r="F475" s="228"/>
      <c r="G475" s="228"/>
    </row>
    <row r="476" spans="1:7" x14ac:dyDescent="0.35">
      <c r="A476" s="264"/>
      <c r="B476" s="228"/>
      <c r="C476" s="228"/>
      <c r="D476" s="228"/>
      <c r="E476" s="228"/>
      <c r="F476" s="228"/>
      <c r="G476" s="228"/>
    </row>
    <row r="477" spans="1:7" x14ac:dyDescent="0.35">
      <c r="A477" s="264"/>
      <c r="B477" s="235" t="s">
        <v>690</v>
      </c>
      <c r="C477" s="228"/>
      <c r="D477" s="228"/>
      <c r="E477" s="228"/>
      <c r="F477" s="228"/>
      <c r="G477" s="228"/>
    </row>
    <row r="478" spans="1:7" x14ac:dyDescent="0.35">
      <c r="A478" s="264" t="s">
        <v>1956</v>
      </c>
      <c r="B478" s="228" t="s">
        <v>692</v>
      </c>
      <c r="C478" s="334" t="s">
        <v>82</v>
      </c>
      <c r="D478" s="341" t="s">
        <v>82</v>
      </c>
      <c r="E478" s="228"/>
      <c r="F478" s="244" t="str">
        <f>IF($C$486=0,"",IF(C478="[for completion]","",IF(C478="","",C478/$C$486)))</f>
        <v/>
      </c>
      <c r="G478" s="244" t="str">
        <f>IF($D$486=0,"",IF(D478="[for completion]","",IF(D478="","",D478/$D$486)))</f>
        <v/>
      </c>
    </row>
    <row r="479" spans="1:7" x14ac:dyDescent="0.35">
      <c r="A479" s="264" t="s">
        <v>1957</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35">
      <c r="A480" s="264" t="s">
        <v>1958</v>
      </c>
      <c r="B480" s="228" t="s">
        <v>696</v>
      </c>
      <c r="C480" s="334" t="s">
        <v>82</v>
      </c>
      <c r="D480" s="341" t="s">
        <v>82</v>
      </c>
      <c r="E480" s="228"/>
      <c r="F480" s="244" t="str">
        <f t="shared" si="20"/>
        <v/>
      </c>
      <c r="G480" s="244" t="str">
        <f t="shared" si="21"/>
        <v/>
      </c>
    </row>
    <row r="481" spans="1:7" x14ac:dyDescent="0.35">
      <c r="A481" s="264" t="s">
        <v>1959</v>
      </c>
      <c r="B481" s="228" t="s">
        <v>698</v>
      </c>
      <c r="C481" s="334" t="s">
        <v>82</v>
      </c>
      <c r="D481" s="341" t="s">
        <v>82</v>
      </c>
      <c r="E481" s="228"/>
      <c r="F481" s="244" t="str">
        <f t="shared" si="20"/>
        <v/>
      </c>
      <c r="G481" s="244" t="str">
        <f t="shared" si="21"/>
        <v/>
      </c>
    </row>
    <row r="482" spans="1:7" x14ac:dyDescent="0.35">
      <c r="A482" s="264" t="s">
        <v>1960</v>
      </c>
      <c r="B482" s="228" t="s">
        <v>700</v>
      </c>
      <c r="C482" s="334" t="s">
        <v>82</v>
      </c>
      <c r="D482" s="341" t="s">
        <v>82</v>
      </c>
      <c r="E482" s="228"/>
      <c r="F482" s="244" t="str">
        <f t="shared" si="20"/>
        <v/>
      </c>
      <c r="G482" s="244" t="str">
        <f t="shared" si="21"/>
        <v/>
      </c>
    </row>
    <row r="483" spans="1:7" x14ac:dyDescent="0.35">
      <c r="A483" s="264" t="s">
        <v>1961</v>
      </c>
      <c r="B483" s="228" t="s">
        <v>702</v>
      </c>
      <c r="C483" s="334" t="s">
        <v>82</v>
      </c>
      <c r="D483" s="341" t="s">
        <v>82</v>
      </c>
      <c r="E483" s="228"/>
      <c r="F483" s="244" t="str">
        <f t="shared" si="20"/>
        <v/>
      </c>
      <c r="G483" s="244" t="str">
        <f t="shared" si="21"/>
        <v/>
      </c>
    </row>
    <row r="484" spans="1:7" x14ac:dyDescent="0.35">
      <c r="A484" s="264" t="s">
        <v>1962</v>
      </c>
      <c r="B484" s="228" t="s">
        <v>704</v>
      </c>
      <c r="C484" s="334" t="s">
        <v>82</v>
      </c>
      <c r="D484" s="341" t="s">
        <v>82</v>
      </c>
      <c r="E484" s="228"/>
      <c r="F484" s="244" t="str">
        <f t="shared" si="20"/>
        <v/>
      </c>
      <c r="G484" s="244" t="str">
        <f t="shared" si="21"/>
        <v/>
      </c>
    </row>
    <row r="485" spans="1:7" x14ac:dyDescent="0.35">
      <c r="A485" s="264" t="s">
        <v>1963</v>
      </c>
      <c r="B485" s="228" t="s">
        <v>706</v>
      </c>
      <c r="C485" s="334" t="s">
        <v>82</v>
      </c>
      <c r="D485" s="341" t="s">
        <v>82</v>
      </c>
      <c r="E485" s="228"/>
      <c r="F485" s="244" t="str">
        <f t="shared" si="20"/>
        <v/>
      </c>
      <c r="G485" s="244" t="str">
        <f t="shared" si="21"/>
        <v/>
      </c>
    </row>
    <row r="486" spans="1:7" x14ac:dyDescent="0.35">
      <c r="A486" s="264" t="s">
        <v>1964</v>
      </c>
      <c r="B486" s="240" t="s">
        <v>145</v>
      </c>
      <c r="C486" s="245">
        <f>SUM(C478:C485)</f>
        <v>0</v>
      </c>
      <c r="D486" s="248">
        <f>SUM(D478:D485)</f>
        <v>0</v>
      </c>
      <c r="E486" s="228"/>
      <c r="F486" s="242">
        <f>SUM(F478:F485)</f>
        <v>0</v>
      </c>
      <c r="G486" s="265">
        <f>SUM(G478:G485)</f>
        <v>0</v>
      </c>
    </row>
    <row r="487" spans="1:7" x14ac:dyDescent="0.35">
      <c r="A487" s="264" t="s">
        <v>1965</v>
      </c>
      <c r="B487" s="232" t="s">
        <v>709</v>
      </c>
      <c r="C487" s="334"/>
      <c r="D487" s="341"/>
      <c r="E487" s="228"/>
      <c r="F487" s="244" t="s">
        <v>1656</v>
      </c>
      <c r="G487" s="244" t="s">
        <v>1656</v>
      </c>
    </row>
    <row r="488" spans="1:7" x14ac:dyDescent="0.35">
      <c r="A488" s="264" t="s">
        <v>1966</v>
      </c>
      <c r="B488" s="232" t="s">
        <v>711</v>
      </c>
      <c r="C488" s="334"/>
      <c r="D488" s="341"/>
      <c r="E488" s="228"/>
      <c r="F488" s="244" t="s">
        <v>1656</v>
      </c>
      <c r="G488" s="244" t="s">
        <v>1656</v>
      </c>
    </row>
    <row r="489" spans="1:7" x14ac:dyDescent="0.35">
      <c r="A489" s="264" t="s">
        <v>1967</v>
      </c>
      <c r="B489" s="232" t="s">
        <v>713</v>
      </c>
      <c r="C489" s="334"/>
      <c r="D489" s="341"/>
      <c r="E489" s="228"/>
      <c r="F489" s="244" t="s">
        <v>1656</v>
      </c>
      <c r="G489" s="244" t="s">
        <v>1656</v>
      </c>
    </row>
    <row r="490" spans="1:7" x14ac:dyDescent="0.35">
      <c r="A490" s="264" t="s">
        <v>2040</v>
      </c>
      <c r="B490" s="232" t="s">
        <v>715</v>
      </c>
      <c r="C490" s="334"/>
      <c r="D490" s="341"/>
      <c r="E490" s="228"/>
      <c r="F490" s="244" t="s">
        <v>1656</v>
      </c>
      <c r="G490" s="244" t="s">
        <v>1656</v>
      </c>
    </row>
    <row r="491" spans="1:7" x14ac:dyDescent="0.35">
      <c r="A491" s="264" t="s">
        <v>2041</v>
      </c>
      <c r="B491" s="232" t="s">
        <v>717</v>
      </c>
      <c r="C491" s="334"/>
      <c r="D491" s="341"/>
      <c r="E491" s="228"/>
      <c r="F491" s="244" t="s">
        <v>1656</v>
      </c>
      <c r="G491" s="244" t="s">
        <v>1656</v>
      </c>
    </row>
    <row r="492" spans="1:7" x14ac:dyDescent="0.35">
      <c r="A492" s="264" t="s">
        <v>2042</v>
      </c>
      <c r="B492" s="232" t="s">
        <v>719</v>
      </c>
      <c r="C492" s="334"/>
      <c r="D492" s="341"/>
      <c r="E492" s="228"/>
      <c r="F492" s="244" t="s">
        <v>1656</v>
      </c>
      <c r="G492" s="244" t="s">
        <v>1656</v>
      </c>
    </row>
    <row r="493" spans="1:7" x14ac:dyDescent="0.35">
      <c r="A493" s="264" t="s">
        <v>2043</v>
      </c>
      <c r="B493" s="232"/>
      <c r="C493" s="228"/>
      <c r="D493" s="228"/>
      <c r="E493" s="228"/>
      <c r="F493" s="229"/>
      <c r="G493" s="229"/>
    </row>
    <row r="494" spans="1:7" x14ac:dyDescent="0.35">
      <c r="A494" s="264" t="s">
        <v>2044</v>
      </c>
      <c r="B494" s="232"/>
      <c r="C494" s="228"/>
      <c r="D494" s="228"/>
      <c r="E494" s="228"/>
      <c r="F494" s="229"/>
      <c r="G494" s="229"/>
    </row>
    <row r="495" spans="1:7" x14ac:dyDescent="0.35">
      <c r="A495" s="264" t="s">
        <v>2045</v>
      </c>
      <c r="B495" s="232"/>
      <c r="C495" s="228"/>
      <c r="D495" s="228"/>
      <c r="E495" s="228"/>
      <c r="F495" s="231"/>
      <c r="G495" s="231"/>
    </row>
    <row r="496" spans="1:7" x14ac:dyDescent="0.35">
      <c r="A496" s="85"/>
      <c r="B496" s="85" t="s">
        <v>2404</v>
      </c>
      <c r="C496" s="85" t="s">
        <v>656</v>
      </c>
      <c r="D496" s="85" t="s">
        <v>657</v>
      </c>
      <c r="E496" s="85"/>
      <c r="F496" s="85" t="s">
        <v>487</v>
      </c>
      <c r="G496" s="85" t="s">
        <v>658</v>
      </c>
    </row>
    <row r="497" spans="1:7" x14ac:dyDescent="0.35">
      <c r="A497" s="264" t="s">
        <v>1968</v>
      </c>
      <c r="B497" s="228" t="s">
        <v>689</v>
      </c>
      <c r="C497" s="340" t="s">
        <v>117</v>
      </c>
      <c r="D497" s="228"/>
      <c r="E497" s="228"/>
      <c r="F497" s="228"/>
      <c r="G497" s="228"/>
    </row>
    <row r="498" spans="1:7" x14ac:dyDescent="0.35">
      <c r="A498" s="264"/>
      <c r="B498" s="228"/>
      <c r="C498" s="228"/>
      <c r="D498" s="228"/>
      <c r="E498" s="228"/>
      <c r="F498" s="228"/>
      <c r="G498" s="228"/>
    </row>
    <row r="499" spans="1:7" x14ac:dyDescent="0.35">
      <c r="A499" s="264"/>
      <c r="B499" s="235" t="s">
        <v>690</v>
      </c>
      <c r="C499" s="228"/>
      <c r="D499" s="228"/>
      <c r="E499" s="228"/>
      <c r="F499" s="228"/>
      <c r="G499" s="228"/>
    </row>
    <row r="500" spans="1:7" x14ac:dyDescent="0.35">
      <c r="A500" s="264" t="s">
        <v>1969</v>
      </c>
      <c r="B500" s="228" t="s">
        <v>692</v>
      </c>
      <c r="C500" s="334" t="s">
        <v>117</v>
      </c>
      <c r="D500" s="341" t="s">
        <v>117</v>
      </c>
      <c r="E500" s="228"/>
      <c r="F500" s="244" t="str">
        <f>IF($C$508=0,"",IF(C500="[for completion]","",IF(C500="","",C500/$C$508)))</f>
        <v/>
      </c>
      <c r="G500" s="244" t="str">
        <f>IF($D$508=0,"",IF(D500="[for completion]","",IF(D500="","",D500/$D$508)))</f>
        <v/>
      </c>
    </row>
    <row r="501" spans="1:7" x14ac:dyDescent="0.35">
      <c r="A501" s="264" t="s">
        <v>1970</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35">
      <c r="A502" s="264" t="s">
        <v>1971</v>
      </c>
      <c r="B502" s="228" t="s">
        <v>696</v>
      </c>
      <c r="C502" s="334" t="s">
        <v>117</v>
      </c>
      <c r="D502" s="341" t="s">
        <v>117</v>
      </c>
      <c r="E502" s="228"/>
      <c r="F502" s="244" t="str">
        <f t="shared" si="22"/>
        <v/>
      </c>
      <c r="G502" s="244" t="str">
        <f t="shared" si="23"/>
        <v/>
      </c>
    </row>
    <row r="503" spans="1:7" x14ac:dyDescent="0.35">
      <c r="A503" s="264" t="s">
        <v>1972</v>
      </c>
      <c r="B503" s="264" t="s">
        <v>698</v>
      </c>
      <c r="C503" s="334" t="s">
        <v>117</v>
      </c>
      <c r="D503" s="341" t="s">
        <v>117</v>
      </c>
      <c r="E503" s="228"/>
      <c r="F503" s="244" t="str">
        <f t="shared" si="22"/>
        <v/>
      </c>
      <c r="G503" s="244" t="str">
        <f t="shared" si="23"/>
        <v/>
      </c>
    </row>
    <row r="504" spans="1:7" x14ac:dyDescent="0.35">
      <c r="A504" s="264" t="s">
        <v>1973</v>
      </c>
      <c r="B504" s="228" t="s">
        <v>700</v>
      </c>
      <c r="C504" s="334" t="s">
        <v>117</v>
      </c>
      <c r="D504" s="341" t="s">
        <v>117</v>
      </c>
      <c r="E504" s="228"/>
      <c r="F504" s="244" t="str">
        <f t="shared" si="22"/>
        <v/>
      </c>
      <c r="G504" s="244" t="str">
        <f t="shared" si="23"/>
        <v/>
      </c>
    </row>
    <row r="505" spans="1:7" x14ac:dyDescent="0.35">
      <c r="A505" s="264" t="s">
        <v>1974</v>
      </c>
      <c r="B505" s="228" t="s">
        <v>702</v>
      </c>
      <c r="C505" s="334" t="s">
        <v>117</v>
      </c>
      <c r="D505" s="341" t="s">
        <v>117</v>
      </c>
      <c r="E505" s="228"/>
      <c r="F505" s="244" t="str">
        <f t="shared" si="22"/>
        <v/>
      </c>
      <c r="G505" s="244" t="str">
        <f t="shared" si="23"/>
        <v/>
      </c>
    </row>
    <row r="506" spans="1:7" x14ac:dyDescent="0.35">
      <c r="A506" s="264" t="s">
        <v>1975</v>
      </c>
      <c r="B506" s="228" t="s">
        <v>704</v>
      </c>
      <c r="C506" s="334" t="s">
        <v>117</v>
      </c>
      <c r="D506" s="341" t="s">
        <v>117</v>
      </c>
      <c r="E506" s="228"/>
      <c r="F506" s="244" t="str">
        <f t="shared" si="22"/>
        <v/>
      </c>
      <c r="G506" s="244" t="str">
        <f t="shared" si="23"/>
        <v/>
      </c>
    </row>
    <row r="507" spans="1:7" x14ac:dyDescent="0.35">
      <c r="A507" s="264" t="s">
        <v>1976</v>
      </c>
      <c r="B507" s="228" t="s">
        <v>706</v>
      </c>
      <c r="C507" s="334" t="s">
        <v>117</v>
      </c>
      <c r="D507" s="332" t="s">
        <v>117</v>
      </c>
      <c r="E507" s="228"/>
      <c r="F507" s="244" t="str">
        <f t="shared" si="22"/>
        <v/>
      </c>
      <c r="G507" s="244" t="str">
        <f t="shared" si="23"/>
        <v/>
      </c>
    </row>
    <row r="508" spans="1:7" x14ac:dyDescent="0.35">
      <c r="A508" s="264" t="s">
        <v>1977</v>
      </c>
      <c r="B508" s="240" t="s">
        <v>145</v>
      </c>
      <c r="C508" s="245">
        <f>SUM(C500:C507)</f>
        <v>0</v>
      </c>
      <c r="D508" s="248">
        <f>SUM(D500:D507)</f>
        <v>0</v>
      </c>
      <c r="E508" s="228"/>
      <c r="F508" s="265">
        <f>SUM(F500:F507)</f>
        <v>0</v>
      </c>
      <c r="G508" s="242">
        <f>SUM(G500:G507)</f>
        <v>0</v>
      </c>
    </row>
    <row r="509" spans="1:7" x14ac:dyDescent="0.35">
      <c r="A509" s="264" t="s">
        <v>2046</v>
      </c>
      <c r="B509" s="232" t="s">
        <v>709</v>
      </c>
      <c r="C509" s="245"/>
      <c r="D509" s="247"/>
      <c r="E509" s="228"/>
      <c r="F509" s="244" t="s">
        <v>1656</v>
      </c>
      <c r="G509" s="244" t="s">
        <v>1656</v>
      </c>
    </row>
    <row r="510" spans="1:7" x14ac:dyDescent="0.35">
      <c r="A510" s="264" t="s">
        <v>2047</v>
      </c>
      <c r="B510" s="232" t="s">
        <v>711</v>
      </c>
      <c r="C510" s="245"/>
      <c r="D510" s="247"/>
      <c r="E510" s="228"/>
      <c r="F510" s="244" t="s">
        <v>1656</v>
      </c>
      <c r="G510" s="244" t="s">
        <v>1656</v>
      </c>
    </row>
    <row r="511" spans="1:7" x14ac:dyDescent="0.35">
      <c r="A511" s="264" t="s">
        <v>2048</v>
      </c>
      <c r="B511" s="232" t="s">
        <v>713</v>
      </c>
      <c r="C511" s="245"/>
      <c r="D511" s="247"/>
      <c r="E511" s="228"/>
      <c r="F511" s="244" t="s">
        <v>1656</v>
      </c>
      <c r="G511" s="244" t="s">
        <v>1656</v>
      </c>
    </row>
    <row r="512" spans="1:7" x14ac:dyDescent="0.35">
      <c r="A512" s="264" t="s">
        <v>2224</v>
      </c>
      <c r="B512" s="232" t="s">
        <v>715</v>
      </c>
      <c r="C512" s="245"/>
      <c r="D512" s="247"/>
      <c r="E512" s="228"/>
      <c r="F512" s="244" t="s">
        <v>1656</v>
      </c>
      <c r="G512" s="244" t="s">
        <v>1656</v>
      </c>
    </row>
    <row r="513" spans="1:7" x14ac:dyDescent="0.35">
      <c r="A513" s="264" t="s">
        <v>2225</v>
      </c>
      <c r="B513" s="232" t="s">
        <v>717</v>
      </c>
      <c r="C513" s="245"/>
      <c r="D513" s="247"/>
      <c r="E513" s="228"/>
      <c r="F513" s="244" t="s">
        <v>1656</v>
      </c>
      <c r="G513" s="244" t="s">
        <v>1656</v>
      </c>
    </row>
    <row r="514" spans="1:7" x14ac:dyDescent="0.35">
      <c r="A514" s="264" t="s">
        <v>2226</v>
      </c>
      <c r="B514" s="232" t="s">
        <v>719</v>
      </c>
      <c r="C514" s="245"/>
      <c r="D514" s="247"/>
      <c r="E514" s="228"/>
      <c r="F514" s="244" t="s">
        <v>1656</v>
      </c>
      <c r="G514" s="244" t="s">
        <v>1656</v>
      </c>
    </row>
    <row r="515" spans="1:7" x14ac:dyDescent="0.35">
      <c r="A515" s="264" t="s">
        <v>2227</v>
      </c>
      <c r="B515" s="232"/>
      <c r="C515" s="228"/>
      <c r="D515" s="228"/>
      <c r="E515" s="228"/>
      <c r="F515" s="244"/>
      <c r="G515" s="244"/>
    </row>
    <row r="516" spans="1:7" x14ac:dyDescent="0.35">
      <c r="A516" s="264" t="s">
        <v>2228</v>
      </c>
      <c r="B516" s="232"/>
      <c r="C516" s="228"/>
      <c r="D516" s="228"/>
      <c r="E516" s="228"/>
      <c r="F516" s="244"/>
      <c r="G516" s="244"/>
    </row>
    <row r="517" spans="1:7" x14ac:dyDescent="0.35">
      <c r="A517" s="264" t="s">
        <v>2229</v>
      </c>
      <c r="B517" s="232"/>
      <c r="C517" s="228"/>
      <c r="D517" s="228"/>
      <c r="E517" s="228"/>
      <c r="F517" s="244"/>
      <c r="G517" s="242"/>
    </row>
    <row r="518" spans="1:7" x14ac:dyDescent="0.35">
      <c r="A518" s="85"/>
      <c r="B518" s="85" t="s">
        <v>2405</v>
      </c>
      <c r="C518" s="85" t="s">
        <v>776</v>
      </c>
      <c r="D518" s="85"/>
      <c r="E518" s="85"/>
      <c r="F518" s="85"/>
      <c r="G518" s="85"/>
    </row>
    <row r="519" spans="1:7" x14ac:dyDescent="0.35">
      <c r="A519" s="264" t="s">
        <v>2049</v>
      </c>
      <c r="B519" s="235" t="s">
        <v>777</v>
      </c>
      <c r="C519" s="340" t="s">
        <v>82</v>
      </c>
      <c r="D519" s="340"/>
      <c r="E519" s="228"/>
      <c r="F519" s="228"/>
      <c r="G519" s="228"/>
    </row>
    <row r="520" spans="1:7" x14ac:dyDescent="0.35">
      <c r="A520" s="264" t="s">
        <v>2050</v>
      </c>
      <c r="B520" s="235" t="s">
        <v>778</v>
      </c>
      <c r="C520" s="340" t="s">
        <v>82</v>
      </c>
      <c r="D520" s="340"/>
      <c r="E520" s="228"/>
      <c r="F520" s="228"/>
      <c r="G520" s="228"/>
    </row>
    <row r="521" spans="1:7" x14ac:dyDescent="0.35">
      <c r="A521" s="264" t="s">
        <v>2051</v>
      </c>
      <c r="B521" s="235" t="s">
        <v>779</v>
      </c>
      <c r="C521" s="340" t="s">
        <v>82</v>
      </c>
      <c r="D521" s="340"/>
      <c r="E521" s="228"/>
      <c r="F521" s="228"/>
      <c r="G521" s="228"/>
    </row>
    <row r="522" spans="1:7" x14ac:dyDescent="0.35">
      <c r="A522" s="264" t="s">
        <v>2052</v>
      </c>
      <c r="B522" s="235" t="s">
        <v>780</v>
      </c>
      <c r="C522" s="340" t="s">
        <v>82</v>
      </c>
      <c r="D522" s="340"/>
      <c r="E522" s="228"/>
      <c r="F522" s="228"/>
      <c r="G522" s="228"/>
    </row>
    <row r="523" spans="1:7" x14ac:dyDescent="0.35">
      <c r="A523" s="264" t="s">
        <v>2053</v>
      </c>
      <c r="B523" s="235" t="s">
        <v>781</v>
      </c>
      <c r="C523" s="340" t="s">
        <v>82</v>
      </c>
      <c r="D523" s="340"/>
      <c r="E523" s="228"/>
      <c r="F523" s="228"/>
      <c r="G523" s="228"/>
    </row>
    <row r="524" spans="1:7" x14ac:dyDescent="0.35">
      <c r="A524" s="264" t="s">
        <v>2054</v>
      </c>
      <c r="B524" s="235" t="s">
        <v>782</v>
      </c>
      <c r="C524" s="340" t="s">
        <v>82</v>
      </c>
      <c r="D524" s="340"/>
      <c r="E524" s="228"/>
      <c r="F524" s="228"/>
      <c r="G524" s="228"/>
    </row>
    <row r="525" spans="1:7" x14ac:dyDescent="0.35">
      <c r="A525" s="264" t="s">
        <v>2055</v>
      </c>
      <c r="B525" s="235" t="s">
        <v>783</v>
      </c>
      <c r="C525" s="340" t="s">
        <v>82</v>
      </c>
      <c r="D525" s="340"/>
      <c r="E525" s="228"/>
      <c r="F525" s="228"/>
      <c r="G525" s="228"/>
    </row>
    <row r="526" spans="1:7" s="258" customFormat="1" x14ac:dyDescent="0.35">
      <c r="A526" s="264" t="s">
        <v>2056</v>
      </c>
      <c r="B526" s="235" t="s">
        <v>2212</v>
      </c>
      <c r="C526" s="340" t="s">
        <v>82</v>
      </c>
      <c r="D526" s="340"/>
      <c r="E526" s="264"/>
      <c r="F526" s="264"/>
      <c r="G526" s="264"/>
    </row>
    <row r="527" spans="1:7" s="258" customFormat="1" x14ac:dyDescent="0.35">
      <c r="A527" s="264" t="s">
        <v>2057</v>
      </c>
      <c r="B527" s="235" t="s">
        <v>2213</v>
      </c>
      <c r="C527" s="340" t="s">
        <v>82</v>
      </c>
      <c r="D527" s="340"/>
      <c r="E527" s="264"/>
      <c r="F527" s="264"/>
      <c r="G527" s="264"/>
    </row>
    <row r="528" spans="1:7" s="258" customFormat="1" x14ac:dyDescent="0.35">
      <c r="A528" s="264" t="s">
        <v>2058</v>
      </c>
      <c r="B528" s="235" t="s">
        <v>2214</v>
      </c>
      <c r="C528" s="340" t="s">
        <v>82</v>
      </c>
      <c r="D528" s="340"/>
      <c r="E528" s="264"/>
      <c r="F528" s="264"/>
      <c r="G528" s="264"/>
    </row>
    <row r="529" spans="1:7" x14ac:dyDescent="0.35">
      <c r="A529" s="264" t="s">
        <v>2116</v>
      </c>
      <c r="B529" s="235" t="s">
        <v>784</v>
      </c>
      <c r="C529" s="340" t="s">
        <v>82</v>
      </c>
      <c r="D529" s="340"/>
      <c r="E529" s="228"/>
      <c r="F529" s="228"/>
      <c r="G529" s="228"/>
    </row>
    <row r="530" spans="1:7" x14ac:dyDescent="0.35">
      <c r="A530" s="264" t="s">
        <v>2230</v>
      </c>
      <c r="B530" s="235" t="s">
        <v>785</v>
      </c>
      <c r="C530" s="340" t="s">
        <v>82</v>
      </c>
      <c r="D530" s="340"/>
      <c r="E530" s="228"/>
      <c r="F530" s="228"/>
      <c r="G530" s="228"/>
    </row>
    <row r="531" spans="1:7" x14ac:dyDescent="0.35">
      <c r="A531" s="264" t="s">
        <v>2231</v>
      </c>
      <c r="B531" s="235" t="s">
        <v>143</v>
      </c>
      <c r="C531" s="340" t="s">
        <v>82</v>
      </c>
      <c r="D531" s="340"/>
      <c r="E531" s="228"/>
      <c r="F531" s="228"/>
      <c r="G531" s="228"/>
    </row>
    <row r="532" spans="1:7" x14ac:dyDescent="0.35">
      <c r="A532" s="264" t="s">
        <v>2232</v>
      </c>
      <c r="B532" s="232" t="s">
        <v>2215</v>
      </c>
      <c r="C532" s="340"/>
      <c r="D532" s="339"/>
      <c r="E532" s="228"/>
      <c r="F532" s="228"/>
      <c r="G532" s="228"/>
    </row>
    <row r="533" spans="1:7" x14ac:dyDescent="0.35">
      <c r="A533" s="264" t="s">
        <v>2233</v>
      </c>
      <c r="B533" s="232" t="s">
        <v>147</v>
      </c>
      <c r="C533" s="340"/>
      <c r="D533" s="339"/>
      <c r="E533" s="228"/>
      <c r="F533" s="228"/>
      <c r="G533" s="228"/>
    </row>
    <row r="534" spans="1:7" x14ac:dyDescent="0.35">
      <c r="A534" s="264" t="s">
        <v>2234</v>
      </c>
      <c r="B534" s="232" t="s">
        <v>147</v>
      </c>
      <c r="C534" s="340"/>
      <c r="D534" s="339"/>
      <c r="E534" s="228"/>
      <c r="F534" s="228"/>
      <c r="G534" s="228"/>
    </row>
    <row r="535" spans="1:7" x14ac:dyDescent="0.35">
      <c r="A535" s="264" t="s">
        <v>2406</v>
      </c>
      <c r="B535" s="232" t="s">
        <v>147</v>
      </c>
      <c r="C535" s="340"/>
      <c r="D535" s="339"/>
      <c r="E535" s="228"/>
      <c r="F535" s="228"/>
      <c r="G535" s="228"/>
    </row>
    <row r="536" spans="1:7" x14ac:dyDescent="0.35">
      <c r="A536" s="264" t="s">
        <v>2407</v>
      </c>
      <c r="B536" s="232" t="s">
        <v>147</v>
      </c>
      <c r="C536" s="340"/>
      <c r="D536" s="339"/>
      <c r="E536" s="228"/>
      <c r="F536" s="228"/>
      <c r="G536" s="228"/>
    </row>
    <row r="537" spans="1:7" x14ac:dyDescent="0.35">
      <c r="A537" s="264" t="s">
        <v>2408</v>
      </c>
      <c r="B537" s="232" t="s">
        <v>147</v>
      </c>
      <c r="C537" s="340"/>
      <c r="D537" s="339"/>
      <c r="E537" s="228"/>
      <c r="F537" s="228"/>
      <c r="G537" s="228"/>
    </row>
    <row r="538" spans="1:7" x14ac:dyDescent="0.35">
      <c r="A538" s="264" t="s">
        <v>2409</v>
      </c>
      <c r="B538" s="232" t="s">
        <v>147</v>
      </c>
      <c r="C538" s="340"/>
      <c r="D538" s="339"/>
      <c r="E538" s="228"/>
      <c r="F538" s="228"/>
      <c r="G538" s="228"/>
    </row>
    <row r="539" spans="1:7" x14ac:dyDescent="0.35">
      <c r="A539" s="264" t="s">
        <v>2410</v>
      </c>
      <c r="B539" s="232" t="s">
        <v>147</v>
      </c>
      <c r="C539" s="340"/>
      <c r="D539" s="339"/>
      <c r="E539" s="228"/>
      <c r="F539" s="228"/>
      <c r="G539" s="228"/>
    </row>
    <row r="540" spans="1:7" x14ac:dyDescent="0.35">
      <c r="A540" s="264" t="s">
        <v>2411</v>
      </c>
      <c r="B540" s="232" t="s">
        <v>147</v>
      </c>
      <c r="C540" s="340"/>
      <c r="D540" s="339"/>
      <c r="E540" s="228"/>
      <c r="F540" s="228"/>
      <c r="G540" s="228"/>
    </row>
    <row r="541" spans="1:7" x14ac:dyDescent="0.35">
      <c r="A541" s="264" t="s">
        <v>2412</v>
      </c>
      <c r="B541" s="232" t="s">
        <v>147</v>
      </c>
      <c r="C541" s="340"/>
      <c r="D541" s="339"/>
      <c r="E541" s="228"/>
      <c r="F541" s="228"/>
      <c r="G541" s="228"/>
    </row>
    <row r="542" spans="1:7" x14ac:dyDescent="0.35">
      <c r="A542" s="264" t="s">
        <v>2413</v>
      </c>
      <c r="B542" s="232" t="s">
        <v>147</v>
      </c>
      <c r="C542" s="340"/>
      <c r="D542" s="339"/>
      <c r="E542" s="228"/>
      <c r="F542" s="228"/>
      <c r="G542" s="228"/>
    </row>
    <row r="543" spans="1:7" x14ac:dyDescent="0.35">
      <c r="A543" s="264" t="s">
        <v>2414</v>
      </c>
      <c r="B543" s="232" t="s">
        <v>147</v>
      </c>
      <c r="C543" s="340"/>
      <c r="D543" s="339"/>
      <c r="E543" s="228"/>
      <c r="F543" s="228"/>
      <c r="G543" s="226"/>
    </row>
    <row r="544" spans="1:7" x14ac:dyDescent="0.35">
      <c r="A544" s="264" t="s">
        <v>2415</v>
      </c>
      <c r="B544" s="232" t="s">
        <v>147</v>
      </c>
      <c r="C544" s="340"/>
      <c r="D544" s="339"/>
      <c r="E544" s="228"/>
      <c r="F544" s="228"/>
      <c r="G544" s="226"/>
    </row>
    <row r="545" spans="1:7" x14ac:dyDescent="0.35">
      <c r="A545" s="264" t="s">
        <v>2416</v>
      </c>
      <c r="B545" s="232" t="s">
        <v>147</v>
      </c>
      <c r="C545" s="340"/>
      <c r="D545" s="339"/>
      <c r="E545" s="228"/>
      <c r="F545" s="228"/>
      <c r="G545" s="226"/>
    </row>
    <row r="546" spans="1:7" x14ac:dyDescent="0.35">
      <c r="A546" s="85"/>
      <c r="B546" s="85" t="s">
        <v>2417</v>
      </c>
      <c r="C546" s="85" t="s">
        <v>112</v>
      </c>
      <c r="D546" s="85" t="s">
        <v>1645</v>
      </c>
      <c r="E546" s="85"/>
      <c r="F546" s="85" t="s">
        <v>487</v>
      </c>
      <c r="G546" s="85" t="s">
        <v>1954</v>
      </c>
    </row>
    <row r="547" spans="1:7" x14ac:dyDescent="0.35">
      <c r="A547" s="275" t="s">
        <v>2117</v>
      </c>
      <c r="B547" s="333" t="s">
        <v>579</v>
      </c>
      <c r="C547" s="339" t="s">
        <v>82</v>
      </c>
      <c r="D547" s="339" t="s">
        <v>82</v>
      </c>
      <c r="E547" s="223"/>
      <c r="F547" s="244" t="str">
        <f>IF($C$565=0,"",IF(C547="[for completion]","",IF(C547="","",C547/$C$565)))</f>
        <v/>
      </c>
      <c r="G547" s="244" t="str">
        <f>IF($D$565=0,"",IF(D547="[for completion]","",IF(D547="","",D547/$D$565)))</f>
        <v/>
      </c>
    </row>
    <row r="548" spans="1:7" x14ac:dyDescent="0.35">
      <c r="A548" s="275" t="s">
        <v>2118</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35">
      <c r="A549" s="275" t="s">
        <v>2119</v>
      </c>
      <c r="B549" s="333" t="s">
        <v>579</v>
      </c>
      <c r="C549" s="339" t="s">
        <v>82</v>
      </c>
      <c r="D549" s="339" t="s">
        <v>82</v>
      </c>
      <c r="E549" s="223"/>
      <c r="F549" s="244" t="str">
        <f t="shared" si="24"/>
        <v/>
      </c>
      <c r="G549" s="244" t="str">
        <f t="shared" si="25"/>
        <v/>
      </c>
    </row>
    <row r="550" spans="1:7" x14ac:dyDescent="0.35">
      <c r="A550" s="275" t="s">
        <v>2120</v>
      </c>
      <c r="B550" s="333" t="s">
        <v>579</v>
      </c>
      <c r="C550" s="339" t="s">
        <v>82</v>
      </c>
      <c r="D550" s="339" t="s">
        <v>82</v>
      </c>
      <c r="E550" s="223"/>
      <c r="F550" s="244" t="str">
        <f t="shared" si="24"/>
        <v/>
      </c>
      <c r="G550" s="244" t="str">
        <f t="shared" si="25"/>
        <v/>
      </c>
    </row>
    <row r="551" spans="1:7" x14ac:dyDescent="0.35">
      <c r="A551" s="275" t="s">
        <v>2121</v>
      </c>
      <c r="B551" s="333" t="s">
        <v>579</v>
      </c>
      <c r="C551" s="339" t="s">
        <v>82</v>
      </c>
      <c r="D551" s="339" t="s">
        <v>82</v>
      </c>
      <c r="E551" s="223"/>
      <c r="F551" s="244" t="str">
        <f t="shared" si="24"/>
        <v/>
      </c>
      <c r="G551" s="244" t="str">
        <f t="shared" si="25"/>
        <v/>
      </c>
    </row>
    <row r="552" spans="1:7" x14ac:dyDescent="0.35">
      <c r="A552" s="275" t="s">
        <v>2235</v>
      </c>
      <c r="B552" s="333" t="s">
        <v>579</v>
      </c>
      <c r="C552" s="339" t="s">
        <v>82</v>
      </c>
      <c r="D552" s="339" t="s">
        <v>82</v>
      </c>
      <c r="E552" s="223"/>
      <c r="F552" s="244" t="str">
        <f t="shared" si="24"/>
        <v/>
      </c>
      <c r="G552" s="244" t="str">
        <f t="shared" si="25"/>
        <v/>
      </c>
    </row>
    <row r="553" spans="1:7" x14ac:dyDescent="0.35">
      <c r="A553" s="275" t="s">
        <v>2236</v>
      </c>
      <c r="B553" s="333" t="s">
        <v>579</v>
      </c>
      <c r="C553" s="339" t="s">
        <v>82</v>
      </c>
      <c r="D553" s="339" t="s">
        <v>82</v>
      </c>
      <c r="E553" s="223"/>
      <c r="F553" s="244" t="str">
        <f t="shared" si="24"/>
        <v/>
      </c>
      <c r="G553" s="244" t="str">
        <f t="shared" si="25"/>
        <v/>
      </c>
    </row>
    <row r="554" spans="1:7" x14ac:dyDescent="0.35">
      <c r="A554" s="275" t="s">
        <v>2237</v>
      </c>
      <c r="B554" s="333" t="s">
        <v>579</v>
      </c>
      <c r="C554" s="339" t="s">
        <v>82</v>
      </c>
      <c r="D554" s="339" t="s">
        <v>82</v>
      </c>
      <c r="E554" s="223"/>
      <c r="F554" s="244" t="str">
        <f t="shared" si="24"/>
        <v/>
      </c>
      <c r="G554" s="244" t="str">
        <f t="shared" si="25"/>
        <v/>
      </c>
    </row>
    <row r="555" spans="1:7" x14ac:dyDescent="0.35">
      <c r="A555" s="275" t="s">
        <v>2238</v>
      </c>
      <c r="B555" s="333" t="s">
        <v>579</v>
      </c>
      <c r="C555" s="339" t="s">
        <v>82</v>
      </c>
      <c r="D555" s="339" t="s">
        <v>82</v>
      </c>
      <c r="E555" s="223"/>
      <c r="F555" s="244" t="str">
        <f t="shared" si="24"/>
        <v/>
      </c>
      <c r="G555" s="244" t="str">
        <f t="shared" si="25"/>
        <v/>
      </c>
    </row>
    <row r="556" spans="1:7" x14ac:dyDescent="0.35">
      <c r="A556" s="275" t="s">
        <v>2239</v>
      </c>
      <c r="B556" s="333" t="s">
        <v>579</v>
      </c>
      <c r="C556" s="339" t="s">
        <v>82</v>
      </c>
      <c r="D556" s="339" t="s">
        <v>82</v>
      </c>
      <c r="E556" s="223"/>
      <c r="F556" s="244" t="str">
        <f t="shared" si="24"/>
        <v/>
      </c>
      <c r="G556" s="244" t="str">
        <f t="shared" si="25"/>
        <v/>
      </c>
    </row>
    <row r="557" spans="1:7" x14ac:dyDescent="0.35">
      <c r="A557" s="275" t="s">
        <v>2240</v>
      </c>
      <c r="B557" s="333" t="s">
        <v>579</v>
      </c>
      <c r="C557" s="339" t="s">
        <v>82</v>
      </c>
      <c r="D557" s="339" t="s">
        <v>82</v>
      </c>
      <c r="E557" s="223"/>
      <c r="F557" s="244" t="str">
        <f t="shared" si="24"/>
        <v/>
      </c>
      <c r="G557" s="244" t="str">
        <f t="shared" si="25"/>
        <v/>
      </c>
    </row>
    <row r="558" spans="1:7" x14ac:dyDescent="0.35">
      <c r="A558" s="275" t="s">
        <v>2241</v>
      </c>
      <c r="B558" s="333" t="s">
        <v>579</v>
      </c>
      <c r="C558" s="339" t="s">
        <v>82</v>
      </c>
      <c r="D558" s="339" t="s">
        <v>82</v>
      </c>
      <c r="E558" s="223"/>
      <c r="F558" s="244" t="str">
        <f t="shared" si="24"/>
        <v/>
      </c>
      <c r="G558" s="244" t="str">
        <f t="shared" si="25"/>
        <v/>
      </c>
    </row>
    <row r="559" spans="1:7" x14ac:dyDescent="0.35">
      <c r="A559" s="275" t="s">
        <v>2242</v>
      </c>
      <c r="B559" s="333" t="s">
        <v>579</v>
      </c>
      <c r="C559" s="339" t="s">
        <v>82</v>
      </c>
      <c r="D559" s="339" t="s">
        <v>82</v>
      </c>
      <c r="E559" s="223"/>
      <c r="F559" s="244" t="str">
        <f t="shared" si="24"/>
        <v/>
      </c>
      <c r="G559" s="244" t="str">
        <f t="shared" si="25"/>
        <v/>
      </c>
    </row>
    <row r="560" spans="1:7" x14ac:dyDescent="0.35">
      <c r="A560" s="275" t="s">
        <v>2243</v>
      </c>
      <c r="B560" s="333" t="s">
        <v>579</v>
      </c>
      <c r="C560" s="339" t="s">
        <v>82</v>
      </c>
      <c r="D560" s="339" t="s">
        <v>82</v>
      </c>
      <c r="E560" s="223"/>
      <c r="F560" s="244" t="str">
        <f t="shared" si="24"/>
        <v/>
      </c>
      <c r="G560" s="244" t="str">
        <f t="shared" si="25"/>
        <v/>
      </c>
    </row>
    <row r="561" spans="1:7" x14ac:dyDescent="0.35">
      <c r="A561" s="275" t="s">
        <v>2244</v>
      </c>
      <c r="B561" s="333" t="s">
        <v>579</v>
      </c>
      <c r="C561" s="339" t="s">
        <v>82</v>
      </c>
      <c r="D561" s="339" t="s">
        <v>82</v>
      </c>
      <c r="E561" s="223"/>
      <c r="F561" s="244" t="str">
        <f t="shared" si="24"/>
        <v/>
      </c>
      <c r="G561" s="244" t="str">
        <f t="shared" si="25"/>
        <v/>
      </c>
    </row>
    <row r="562" spans="1:7" x14ac:dyDescent="0.35">
      <c r="A562" s="275" t="s">
        <v>2245</v>
      </c>
      <c r="B562" s="333" t="s">
        <v>579</v>
      </c>
      <c r="C562" s="339" t="s">
        <v>82</v>
      </c>
      <c r="D562" s="339" t="s">
        <v>82</v>
      </c>
      <c r="E562" s="223"/>
      <c r="F562" s="244" t="str">
        <f t="shared" si="24"/>
        <v/>
      </c>
      <c r="G562" s="244" t="str">
        <f t="shared" si="25"/>
        <v/>
      </c>
    </row>
    <row r="563" spans="1:7" x14ac:dyDescent="0.35">
      <c r="A563" s="275" t="s">
        <v>2246</v>
      </c>
      <c r="B563" s="333" t="s">
        <v>579</v>
      </c>
      <c r="C563" s="339" t="s">
        <v>82</v>
      </c>
      <c r="D563" s="339" t="s">
        <v>82</v>
      </c>
      <c r="E563" s="223"/>
      <c r="F563" s="244" t="str">
        <f t="shared" si="24"/>
        <v/>
      </c>
      <c r="G563" s="244" t="str">
        <f t="shared" si="25"/>
        <v/>
      </c>
    </row>
    <row r="564" spans="1:7" x14ac:dyDescent="0.35">
      <c r="A564" s="275" t="s">
        <v>2247</v>
      </c>
      <c r="B564" s="235" t="s">
        <v>2037</v>
      </c>
      <c r="C564" s="339" t="s">
        <v>82</v>
      </c>
      <c r="D564" s="339" t="s">
        <v>82</v>
      </c>
      <c r="E564" s="223"/>
      <c r="F564" s="244" t="str">
        <f t="shared" si="24"/>
        <v/>
      </c>
      <c r="G564" s="244" t="str">
        <f t="shared" si="25"/>
        <v/>
      </c>
    </row>
    <row r="565" spans="1:7" x14ac:dyDescent="0.35">
      <c r="A565" s="275" t="s">
        <v>2248</v>
      </c>
      <c r="B565" s="225" t="s">
        <v>145</v>
      </c>
      <c r="C565" s="187">
        <f>SUM(C547:C564)</f>
        <v>0</v>
      </c>
      <c r="D565" s="188">
        <f>SUM(D547:D564)</f>
        <v>0</v>
      </c>
      <c r="E565" s="223"/>
      <c r="F565" s="265">
        <f>SUM(F547:F564)</f>
        <v>0</v>
      </c>
      <c r="G565" s="265">
        <f>SUM(G547:G564)</f>
        <v>0</v>
      </c>
    </row>
    <row r="566" spans="1:7" x14ac:dyDescent="0.35">
      <c r="A566" s="275" t="s">
        <v>2418</v>
      </c>
      <c r="B566" s="225"/>
      <c r="C566" s="219"/>
      <c r="D566" s="219"/>
      <c r="E566" s="223"/>
      <c r="F566" s="223"/>
      <c r="G566" s="223"/>
    </row>
    <row r="567" spans="1:7" x14ac:dyDescent="0.35">
      <c r="A567" s="275" t="s">
        <v>2419</v>
      </c>
      <c r="B567" s="225"/>
      <c r="C567" s="219"/>
      <c r="D567" s="219"/>
      <c r="E567" s="223"/>
      <c r="F567" s="223"/>
      <c r="G567" s="223"/>
    </row>
    <row r="568" spans="1:7" x14ac:dyDescent="0.35">
      <c r="A568" s="275" t="s">
        <v>2420</v>
      </c>
      <c r="B568" s="225"/>
      <c r="C568" s="219"/>
      <c r="D568" s="219"/>
      <c r="E568" s="223"/>
      <c r="F568" s="223"/>
      <c r="G568" s="223"/>
    </row>
    <row r="569" spans="1:7" s="258" customFormat="1" x14ac:dyDescent="0.35">
      <c r="A569" s="85"/>
      <c r="B569" s="85" t="s">
        <v>2421</v>
      </c>
      <c r="C569" s="85" t="s">
        <v>112</v>
      </c>
      <c r="D569" s="85" t="s">
        <v>1645</v>
      </c>
      <c r="E569" s="85"/>
      <c r="F569" s="85" t="s">
        <v>487</v>
      </c>
      <c r="G569" s="85" t="s">
        <v>2295</v>
      </c>
    </row>
    <row r="570" spans="1:7" s="258" customFormat="1" x14ac:dyDescent="0.35">
      <c r="A570" s="275" t="s">
        <v>2249</v>
      </c>
      <c r="B570" s="333" t="s">
        <v>579</v>
      </c>
      <c r="C570" s="334" t="s">
        <v>82</v>
      </c>
      <c r="D570" s="341" t="s">
        <v>82</v>
      </c>
      <c r="E570" s="260"/>
      <c r="F570" s="244" t="str">
        <f>IF($C$588=0,"",IF(C570="[for completion]","",IF(C570="","",C570/$C$588)))</f>
        <v/>
      </c>
      <c r="G570" s="244" t="str">
        <f>IF($D$588=0,"",IF(D570="[for completion]","",IF(D570="","",D570/$D$588)))</f>
        <v/>
      </c>
    </row>
    <row r="571" spans="1:7" s="258" customFormat="1" x14ac:dyDescent="0.35">
      <c r="A571" s="275" t="s">
        <v>2250</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35">
      <c r="A572" s="275" t="s">
        <v>2251</v>
      </c>
      <c r="B572" s="333" t="s">
        <v>579</v>
      </c>
      <c r="C572" s="334" t="s">
        <v>82</v>
      </c>
      <c r="D572" s="341" t="s">
        <v>82</v>
      </c>
      <c r="E572" s="260"/>
      <c r="F572" s="244" t="str">
        <f t="shared" si="26"/>
        <v/>
      </c>
      <c r="G572" s="244" t="str">
        <f t="shared" si="27"/>
        <v/>
      </c>
    </row>
    <row r="573" spans="1:7" s="258" customFormat="1" x14ac:dyDescent="0.35">
      <c r="A573" s="275" t="s">
        <v>2252</v>
      </c>
      <c r="B573" s="333" t="s">
        <v>579</v>
      </c>
      <c r="C573" s="334" t="s">
        <v>82</v>
      </c>
      <c r="D573" s="341" t="s">
        <v>82</v>
      </c>
      <c r="E573" s="260"/>
      <c r="F573" s="244" t="str">
        <f t="shared" si="26"/>
        <v/>
      </c>
      <c r="G573" s="244" t="str">
        <f t="shared" si="27"/>
        <v/>
      </c>
    </row>
    <row r="574" spans="1:7" s="258" customFormat="1" x14ac:dyDescent="0.35">
      <c r="A574" s="275" t="s">
        <v>2253</v>
      </c>
      <c r="B574" s="333" t="s">
        <v>579</v>
      </c>
      <c r="C574" s="334" t="s">
        <v>82</v>
      </c>
      <c r="D574" s="341" t="s">
        <v>82</v>
      </c>
      <c r="E574" s="260"/>
      <c r="F574" s="244" t="str">
        <f t="shared" si="26"/>
        <v/>
      </c>
      <c r="G574" s="244" t="str">
        <f t="shared" si="27"/>
        <v/>
      </c>
    </row>
    <row r="575" spans="1:7" s="258" customFormat="1" x14ac:dyDescent="0.35">
      <c r="A575" s="275" t="s">
        <v>2254</v>
      </c>
      <c r="B575" s="333" t="s">
        <v>579</v>
      </c>
      <c r="C575" s="334" t="s">
        <v>82</v>
      </c>
      <c r="D575" s="341" t="s">
        <v>82</v>
      </c>
      <c r="E575" s="260"/>
      <c r="F575" s="244" t="str">
        <f t="shared" si="26"/>
        <v/>
      </c>
      <c r="G575" s="244" t="str">
        <f t="shared" si="27"/>
        <v/>
      </c>
    </row>
    <row r="576" spans="1:7" s="258" customFormat="1" x14ac:dyDescent="0.35">
      <c r="A576" s="275" t="s">
        <v>2255</v>
      </c>
      <c r="B576" s="333" t="s">
        <v>579</v>
      </c>
      <c r="C576" s="334" t="s">
        <v>82</v>
      </c>
      <c r="D576" s="341" t="s">
        <v>82</v>
      </c>
      <c r="E576" s="260"/>
      <c r="F576" s="244" t="str">
        <f t="shared" si="26"/>
        <v/>
      </c>
      <c r="G576" s="244" t="str">
        <f t="shared" si="27"/>
        <v/>
      </c>
    </row>
    <row r="577" spans="1:7" s="258" customFormat="1" x14ac:dyDescent="0.35">
      <c r="A577" s="275" t="s">
        <v>2256</v>
      </c>
      <c r="B577" s="333" t="s">
        <v>579</v>
      </c>
      <c r="C577" s="334" t="s">
        <v>82</v>
      </c>
      <c r="D577" s="341" t="s">
        <v>82</v>
      </c>
      <c r="E577" s="260"/>
      <c r="F577" s="244" t="str">
        <f t="shared" si="26"/>
        <v/>
      </c>
      <c r="G577" s="244" t="str">
        <f t="shared" si="27"/>
        <v/>
      </c>
    </row>
    <row r="578" spans="1:7" s="258" customFormat="1" x14ac:dyDescent="0.35">
      <c r="A578" s="275" t="s">
        <v>2257</v>
      </c>
      <c r="B578" s="333" t="s">
        <v>579</v>
      </c>
      <c r="C578" s="334" t="s">
        <v>82</v>
      </c>
      <c r="D578" s="341" t="s">
        <v>82</v>
      </c>
      <c r="E578" s="260"/>
      <c r="F578" s="244" t="str">
        <f t="shared" si="26"/>
        <v/>
      </c>
      <c r="G578" s="244" t="str">
        <f t="shared" si="27"/>
        <v/>
      </c>
    </row>
    <row r="579" spans="1:7" s="258" customFormat="1" x14ac:dyDescent="0.35">
      <c r="A579" s="275" t="s">
        <v>2258</v>
      </c>
      <c r="B579" s="333" t="s">
        <v>579</v>
      </c>
      <c r="C579" s="334" t="s">
        <v>82</v>
      </c>
      <c r="D579" s="341" t="s">
        <v>82</v>
      </c>
      <c r="E579" s="260"/>
      <c r="F579" s="244" t="str">
        <f t="shared" si="26"/>
        <v/>
      </c>
      <c r="G579" s="244" t="str">
        <f t="shared" si="27"/>
        <v/>
      </c>
    </row>
    <row r="580" spans="1:7" s="258" customFormat="1" x14ac:dyDescent="0.35">
      <c r="A580" s="275" t="s">
        <v>2259</v>
      </c>
      <c r="B580" s="333" t="s">
        <v>579</v>
      </c>
      <c r="C580" s="334" t="s">
        <v>82</v>
      </c>
      <c r="D580" s="341" t="s">
        <v>82</v>
      </c>
      <c r="E580" s="260"/>
      <c r="F580" s="244" t="str">
        <f t="shared" si="26"/>
        <v/>
      </c>
      <c r="G580" s="244" t="str">
        <f t="shared" si="27"/>
        <v/>
      </c>
    </row>
    <row r="581" spans="1:7" s="258" customFormat="1" x14ac:dyDescent="0.35">
      <c r="A581" s="275" t="s">
        <v>2422</v>
      </c>
      <c r="B581" s="333" t="s">
        <v>579</v>
      </c>
      <c r="C581" s="334" t="s">
        <v>82</v>
      </c>
      <c r="D581" s="341" t="s">
        <v>82</v>
      </c>
      <c r="E581" s="260"/>
      <c r="F581" s="244" t="str">
        <f t="shared" si="26"/>
        <v/>
      </c>
      <c r="G581" s="244" t="str">
        <f t="shared" si="27"/>
        <v/>
      </c>
    </row>
    <row r="582" spans="1:7" s="258" customFormat="1" x14ac:dyDescent="0.35">
      <c r="A582" s="275" t="s">
        <v>2423</v>
      </c>
      <c r="B582" s="333" t="s">
        <v>579</v>
      </c>
      <c r="C582" s="334" t="s">
        <v>82</v>
      </c>
      <c r="D582" s="341" t="s">
        <v>82</v>
      </c>
      <c r="E582" s="260"/>
      <c r="F582" s="244" t="str">
        <f t="shared" si="26"/>
        <v/>
      </c>
      <c r="G582" s="244" t="str">
        <f t="shared" si="27"/>
        <v/>
      </c>
    </row>
    <row r="583" spans="1:7" s="258" customFormat="1" x14ac:dyDescent="0.35">
      <c r="A583" s="275" t="s">
        <v>2424</v>
      </c>
      <c r="B583" s="333" t="s">
        <v>579</v>
      </c>
      <c r="C583" s="334" t="s">
        <v>82</v>
      </c>
      <c r="D583" s="341" t="s">
        <v>82</v>
      </c>
      <c r="E583" s="260"/>
      <c r="F583" s="244" t="str">
        <f t="shared" si="26"/>
        <v/>
      </c>
      <c r="G583" s="244" t="str">
        <f t="shared" si="27"/>
        <v/>
      </c>
    </row>
    <row r="584" spans="1:7" s="258" customFormat="1" x14ac:dyDescent="0.35">
      <c r="A584" s="275" t="s">
        <v>2425</v>
      </c>
      <c r="B584" s="333" t="s">
        <v>579</v>
      </c>
      <c r="C584" s="334" t="s">
        <v>82</v>
      </c>
      <c r="D584" s="341" t="s">
        <v>82</v>
      </c>
      <c r="E584" s="260"/>
      <c r="F584" s="244" t="str">
        <f t="shared" si="26"/>
        <v/>
      </c>
      <c r="G584" s="244" t="str">
        <f t="shared" si="27"/>
        <v/>
      </c>
    </row>
    <row r="585" spans="1:7" s="258" customFormat="1" x14ac:dyDescent="0.35">
      <c r="A585" s="275" t="s">
        <v>2426</v>
      </c>
      <c r="B585" s="333" t="s">
        <v>579</v>
      </c>
      <c r="C585" s="334" t="s">
        <v>82</v>
      </c>
      <c r="D585" s="341" t="s">
        <v>82</v>
      </c>
      <c r="E585" s="260"/>
      <c r="F585" s="244" t="str">
        <f t="shared" si="26"/>
        <v/>
      </c>
      <c r="G585" s="244" t="str">
        <f t="shared" si="27"/>
        <v/>
      </c>
    </row>
    <row r="586" spans="1:7" s="258" customFormat="1" x14ac:dyDescent="0.35">
      <c r="A586" s="275" t="s">
        <v>2427</v>
      </c>
      <c r="B586" s="333" t="s">
        <v>579</v>
      </c>
      <c r="C586" s="334" t="s">
        <v>82</v>
      </c>
      <c r="D586" s="341" t="s">
        <v>82</v>
      </c>
      <c r="E586" s="260"/>
      <c r="F586" s="244" t="str">
        <f t="shared" si="26"/>
        <v/>
      </c>
      <c r="G586" s="244" t="str">
        <f t="shared" si="27"/>
        <v/>
      </c>
    </row>
    <row r="587" spans="1:7" s="258" customFormat="1" x14ac:dyDescent="0.35">
      <c r="A587" s="275" t="s">
        <v>2428</v>
      </c>
      <c r="B587" s="235" t="s">
        <v>2037</v>
      </c>
      <c r="C587" s="334" t="s">
        <v>82</v>
      </c>
      <c r="D587" s="341" t="s">
        <v>82</v>
      </c>
      <c r="E587" s="260"/>
      <c r="F587" s="244" t="str">
        <f t="shared" si="26"/>
        <v/>
      </c>
      <c r="G587" s="244" t="str">
        <f t="shared" si="27"/>
        <v/>
      </c>
    </row>
    <row r="588" spans="1:7" s="258" customFormat="1" x14ac:dyDescent="0.35">
      <c r="A588" s="275" t="s">
        <v>2429</v>
      </c>
      <c r="B588" s="261" t="s">
        <v>145</v>
      </c>
      <c r="C588" s="187">
        <f>SUM(C570:C587)</f>
        <v>0</v>
      </c>
      <c r="D588" s="188">
        <f>SUM(D570:D587)</f>
        <v>0</v>
      </c>
      <c r="E588" s="260"/>
      <c r="F588" s="265">
        <f>SUM(F570:F587)</f>
        <v>0</v>
      </c>
      <c r="G588" s="265">
        <f>SUM(G570:G587)</f>
        <v>0</v>
      </c>
    </row>
    <row r="589" spans="1:7" x14ac:dyDescent="0.35">
      <c r="A589" s="85"/>
      <c r="B589" s="85" t="s">
        <v>2442</v>
      </c>
      <c r="C589" s="85" t="s">
        <v>112</v>
      </c>
      <c r="D589" s="85" t="s">
        <v>1645</v>
      </c>
      <c r="E589" s="85"/>
      <c r="F589" s="85" t="s">
        <v>487</v>
      </c>
      <c r="G589" s="85" t="s">
        <v>1954</v>
      </c>
    </row>
    <row r="590" spans="1:7" x14ac:dyDescent="0.35">
      <c r="A590" s="275" t="s">
        <v>2260</v>
      </c>
      <c r="B590" s="261" t="s">
        <v>1636</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35">
      <c r="A591" s="275" t="s">
        <v>2261</v>
      </c>
      <c r="B591" s="261" t="s">
        <v>1637</v>
      </c>
      <c r="C591" s="339" t="s">
        <v>82</v>
      </c>
      <c r="D591" s="339" t="s">
        <v>82</v>
      </c>
      <c r="E591" s="223"/>
      <c r="F591" s="244" t="str">
        <f t="shared" si="28"/>
        <v/>
      </c>
      <c r="G591" s="244" t="str">
        <f t="shared" si="29"/>
        <v/>
      </c>
    </row>
    <row r="592" spans="1:7" x14ac:dyDescent="0.35">
      <c r="A592" s="275" t="s">
        <v>2262</v>
      </c>
      <c r="B592" s="261" t="s">
        <v>2318</v>
      </c>
      <c r="C592" s="339" t="s">
        <v>82</v>
      </c>
      <c r="D592" s="339" t="s">
        <v>82</v>
      </c>
      <c r="E592" s="223"/>
      <c r="F592" s="244" t="str">
        <f t="shared" si="28"/>
        <v/>
      </c>
      <c r="G592" s="244" t="str">
        <f t="shared" si="29"/>
        <v/>
      </c>
    </row>
    <row r="593" spans="1:7" x14ac:dyDescent="0.35">
      <c r="A593" s="275" t="s">
        <v>2263</v>
      </c>
      <c r="B593" s="261" t="s">
        <v>1638</v>
      </c>
      <c r="C593" s="339" t="s">
        <v>82</v>
      </c>
      <c r="D593" s="339" t="s">
        <v>82</v>
      </c>
      <c r="E593" s="223"/>
      <c r="F593" s="244" t="str">
        <f t="shared" si="28"/>
        <v/>
      </c>
      <c r="G593" s="244" t="str">
        <f t="shared" si="29"/>
        <v/>
      </c>
    </row>
    <row r="594" spans="1:7" x14ac:dyDescent="0.35">
      <c r="A594" s="275" t="s">
        <v>2264</v>
      </c>
      <c r="B594" s="261" t="s">
        <v>1639</v>
      </c>
      <c r="C594" s="339" t="s">
        <v>82</v>
      </c>
      <c r="D594" s="339" t="s">
        <v>82</v>
      </c>
      <c r="E594" s="223"/>
      <c r="F594" s="244" t="str">
        <f t="shared" si="28"/>
        <v/>
      </c>
      <c r="G594" s="244" t="str">
        <f t="shared" si="29"/>
        <v/>
      </c>
    </row>
    <row r="595" spans="1:7" x14ac:dyDescent="0.35">
      <c r="A595" s="275" t="s">
        <v>2430</v>
      </c>
      <c r="B595" s="261" t="s">
        <v>1640</v>
      </c>
      <c r="C595" s="339" t="s">
        <v>82</v>
      </c>
      <c r="D595" s="339" t="s">
        <v>82</v>
      </c>
      <c r="E595" s="223"/>
      <c r="F595" s="244" t="str">
        <f t="shared" si="28"/>
        <v/>
      </c>
      <c r="G595" s="244" t="str">
        <f t="shared" si="29"/>
        <v/>
      </c>
    </row>
    <row r="596" spans="1:7" x14ac:dyDescent="0.35">
      <c r="A596" s="275" t="s">
        <v>2431</v>
      </c>
      <c r="B596" s="261" t="s">
        <v>1641</v>
      </c>
      <c r="C596" s="339" t="s">
        <v>82</v>
      </c>
      <c r="D596" s="339" t="s">
        <v>82</v>
      </c>
      <c r="E596" s="223"/>
      <c r="F596" s="244" t="str">
        <f t="shared" si="28"/>
        <v/>
      </c>
      <c r="G596" s="244" t="str">
        <f t="shared" si="29"/>
        <v/>
      </c>
    </row>
    <row r="597" spans="1:7" x14ac:dyDescent="0.35">
      <c r="A597" s="362" t="s">
        <v>2432</v>
      </c>
      <c r="B597" s="261" t="s">
        <v>1642</v>
      </c>
      <c r="C597" s="339" t="s">
        <v>82</v>
      </c>
      <c r="D597" s="339" t="s">
        <v>82</v>
      </c>
      <c r="E597" s="260"/>
      <c r="F597" s="365" t="str">
        <f t="shared" si="28"/>
        <v/>
      </c>
      <c r="G597" s="365" t="str">
        <f t="shared" si="29"/>
        <v/>
      </c>
    </row>
    <row r="598" spans="1:7" x14ac:dyDescent="0.35">
      <c r="A598" s="362" t="s">
        <v>2433</v>
      </c>
      <c r="B598" s="368" t="s">
        <v>2694</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35">
      <c r="A599" s="362" t="s">
        <v>2434</v>
      </c>
      <c r="B599" s="367" t="s">
        <v>2697</v>
      </c>
      <c r="C599" s="245" t="s">
        <v>82</v>
      </c>
      <c r="D599" s="367" t="s">
        <v>82</v>
      </c>
      <c r="E599" s="108"/>
      <c r="F599" s="365" t="str">
        <f t="shared" si="30"/>
        <v/>
      </c>
      <c r="G599" s="365" t="str">
        <f t="shared" si="31"/>
        <v/>
      </c>
    </row>
    <row r="600" spans="1:7" x14ac:dyDescent="0.35">
      <c r="A600" s="362" t="s">
        <v>2435</v>
      </c>
      <c r="B600" s="367" t="s">
        <v>2695</v>
      </c>
      <c r="C600" s="245" t="s">
        <v>82</v>
      </c>
      <c r="D600" s="367" t="s">
        <v>82</v>
      </c>
      <c r="E600" s="108"/>
      <c r="F600" s="365" t="str">
        <f t="shared" si="30"/>
        <v/>
      </c>
      <c r="G600" s="365" t="str">
        <f t="shared" si="31"/>
        <v/>
      </c>
    </row>
    <row r="601" spans="1:7" s="361" customFormat="1" x14ac:dyDescent="0.35">
      <c r="A601" s="362" t="s">
        <v>2732</v>
      </c>
      <c r="B601" s="368" t="s">
        <v>2696</v>
      </c>
      <c r="C601" s="245" t="s">
        <v>82</v>
      </c>
      <c r="D601" s="367" t="s">
        <v>82</v>
      </c>
      <c r="E601" s="377"/>
      <c r="F601" s="365" t="str">
        <f t="shared" si="30"/>
        <v/>
      </c>
      <c r="G601" s="365" t="str">
        <f t="shared" si="31"/>
        <v/>
      </c>
    </row>
    <row r="602" spans="1:7" s="361" customFormat="1" x14ac:dyDescent="0.35">
      <c r="A602" s="362" t="s">
        <v>2733</v>
      </c>
      <c r="B602" s="261" t="s">
        <v>2037</v>
      </c>
      <c r="C602" s="339" t="s">
        <v>82</v>
      </c>
      <c r="D602" s="339" t="s">
        <v>82</v>
      </c>
      <c r="E602" s="260"/>
      <c r="F602" s="365" t="str">
        <f>IF($C$603=0,"",IF(C602="[for completion]","",IF(C602="","",C602/$C$603)))</f>
        <v/>
      </c>
      <c r="G602" s="365" t="str">
        <f>IF($D$603=0,"",IF(D602="[for completion]","",IF(D602="","",D602/$D$603)))</f>
        <v/>
      </c>
    </row>
    <row r="603" spans="1:7" s="361" customFormat="1" x14ac:dyDescent="0.35">
      <c r="A603" s="362" t="s">
        <v>2734</v>
      </c>
      <c r="B603" s="261" t="s">
        <v>145</v>
      </c>
      <c r="C603" s="187">
        <f>SUM(C590:C602)</f>
        <v>0</v>
      </c>
      <c r="D603" s="188">
        <f>SUM(D590:D602)</f>
        <v>0</v>
      </c>
      <c r="E603" s="260"/>
      <c r="F603" s="364">
        <f>SUM(F590:F602)</f>
        <v>0</v>
      </c>
      <c r="G603" s="364">
        <f>SUM(G590:G602)</f>
        <v>0</v>
      </c>
    </row>
    <row r="604" spans="1:7" s="361" customFormat="1" x14ac:dyDescent="0.35">
      <c r="A604" s="362" t="s">
        <v>2735</v>
      </c>
      <c r="B604" s="108"/>
      <c r="C604" s="108"/>
      <c r="D604" s="108"/>
      <c r="E604" s="108"/>
      <c r="F604" s="108"/>
      <c r="G604" s="108"/>
    </row>
    <row r="605" spans="1:7" s="361" customFormat="1" x14ac:dyDescent="0.35">
      <c r="A605" s="362" t="s">
        <v>2736</v>
      </c>
      <c r="B605" s="108"/>
      <c r="C605" s="108"/>
      <c r="D605" s="108"/>
      <c r="E605" s="108"/>
      <c r="F605" s="108"/>
      <c r="G605" s="108"/>
    </row>
    <row r="606" spans="1:7" s="361" customFormat="1" x14ac:dyDescent="0.35">
      <c r="A606" s="362" t="s">
        <v>2737</v>
      </c>
      <c r="B606" s="108"/>
      <c r="C606" s="108"/>
      <c r="D606" s="108"/>
      <c r="E606" s="108"/>
      <c r="F606" s="108"/>
      <c r="G606" s="108"/>
    </row>
    <row r="607" spans="1:7" s="361" customFormat="1" x14ac:dyDescent="0.35">
      <c r="A607" s="362" t="s">
        <v>2738</v>
      </c>
      <c r="B607" s="261"/>
      <c r="C607" s="187"/>
      <c r="D607" s="188"/>
      <c r="E607" s="260"/>
      <c r="F607" s="364"/>
      <c r="G607" s="364"/>
    </row>
    <row r="608" spans="1:7" s="361" customFormat="1" x14ac:dyDescent="0.35">
      <c r="A608" s="362" t="s">
        <v>2739</v>
      </c>
      <c r="B608" s="261"/>
      <c r="C608" s="187"/>
      <c r="D608" s="188"/>
      <c r="E608" s="260"/>
      <c r="F608" s="364"/>
      <c r="G608" s="364"/>
    </row>
    <row r="609" spans="1:7" s="361" customFormat="1" x14ac:dyDescent="0.35">
      <c r="A609" s="362" t="s">
        <v>2740</v>
      </c>
      <c r="B609" s="261"/>
      <c r="C609" s="187"/>
      <c r="D609" s="188"/>
      <c r="E609" s="260"/>
      <c r="F609" s="364"/>
      <c r="G609" s="364"/>
    </row>
    <row r="610" spans="1:7" s="361" customFormat="1" x14ac:dyDescent="0.35">
      <c r="A610" s="362" t="s">
        <v>2741</v>
      </c>
      <c r="B610" s="261"/>
      <c r="C610" s="187"/>
      <c r="D610" s="188"/>
      <c r="E610" s="260"/>
      <c r="F610" s="364"/>
      <c r="G610" s="364"/>
    </row>
    <row r="611" spans="1:7" s="361" customFormat="1" x14ac:dyDescent="0.35">
      <c r="A611" s="362" t="s">
        <v>2742</v>
      </c>
      <c r="B611" s="261"/>
      <c r="C611" s="187"/>
      <c r="D611" s="188"/>
      <c r="E611" s="260"/>
      <c r="F611" s="364"/>
      <c r="G611" s="364"/>
    </row>
    <row r="612" spans="1:7" x14ac:dyDescent="0.35">
      <c r="A612" s="362" t="s">
        <v>2743</v>
      </c>
      <c r="B612" s="108"/>
      <c r="C612" s="108"/>
      <c r="D612" s="108"/>
      <c r="E612" s="108"/>
      <c r="F612" s="108"/>
      <c r="G612" s="108"/>
    </row>
    <row r="613" spans="1:7" s="361" customFormat="1" x14ac:dyDescent="0.35">
      <c r="A613" s="362" t="s">
        <v>2744</v>
      </c>
      <c r="B613" s="108"/>
      <c r="C613" s="108"/>
      <c r="D613" s="108"/>
      <c r="E613" s="108"/>
      <c r="F613" s="108"/>
      <c r="G613" s="108"/>
    </row>
    <row r="614" spans="1:7" x14ac:dyDescent="0.35">
      <c r="A614" s="156"/>
      <c r="B614" s="156" t="s">
        <v>2441</v>
      </c>
      <c r="C614" s="156" t="s">
        <v>112</v>
      </c>
      <c r="D614" s="156" t="s">
        <v>1645</v>
      </c>
      <c r="E614" s="156"/>
      <c r="F614" s="156" t="s">
        <v>487</v>
      </c>
      <c r="G614" s="156" t="s">
        <v>1954</v>
      </c>
    </row>
    <row r="615" spans="1:7" x14ac:dyDescent="0.35">
      <c r="A615" s="275" t="s">
        <v>2436</v>
      </c>
      <c r="B615" s="270" t="s">
        <v>2267</v>
      </c>
      <c r="C615" s="339" t="s">
        <v>82</v>
      </c>
      <c r="D615" s="339" t="s">
        <v>82</v>
      </c>
      <c r="E615" s="271"/>
      <c r="F615" s="244" t="str">
        <f>IF($C$619=0,"",IF(C615="[for completion]","",IF(C615="","",C615/$C$619)))</f>
        <v/>
      </c>
      <c r="G615" s="244" t="str">
        <f>IF($D$619=0,"",IF(D615="[for completion]","",IF(D615="","",D615/$D$619)))</f>
        <v/>
      </c>
    </row>
    <row r="616" spans="1:7" x14ac:dyDescent="0.35">
      <c r="A616" s="275" t="s">
        <v>2437</v>
      </c>
      <c r="B616" s="266" t="s">
        <v>2266</v>
      </c>
      <c r="C616" s="339" t="s">
        <v>82</v>
      </c>
      <c r="D616" s="339" t="s">
        <v>82</v>
      </c>
      <c r="E616" s="271"/>
      <c r="F616" s="271"/>
      <c r="G616" s="244" t="str">
        <f>IF($D$619=0,"",IF(D616="[for completion]","",IF(D616="","",D616/$D$619)))</f>
        <v/>
      </c>
    </row>
    <row r="617" spans="1:7" x14ac:dyDescent="0.35">
      <c r="A617" s="275" t="s">
        <v>2438</v>
      </c>
      <c r="B617" s="270" t="s">
        <v>1644</v>
      </c>
      <c r="C617" s="339" t="s">
        <v>82</v>
      </c>
      <c r="D617" s="339" t="s">
        <v>82</v>
      </c>
      <c r="E617" s="271"/>
      <c r="F617" s="271"/>
      <c r="G617" s="244" t="str">
        <f>IF($D$619=0,"",IF(D617="[for completion]","",IF(D617="","",D617/$D$619)))</f>
        <v/>
      </c>
    </row>
    <row r="618" spans="1:7" x14ac:dyDescent="0.35">
      <c r="A618" s="275" t="s">
        <v>2439</v>
      </c>
      <c r="B618" s="268" t="s">
        <v>2037</v>
      </c>
      <c r="C618" s="339" t="s">
        <v>82</v>
      </c>
      <c r="D618" s="339" t="s">
        <v>82</v>
      </c>
      <c r="E618" s="271"/>
      <c r="F618" s="271"/>
      <c r="G618" s="244" t="str">
        <f>IF($D$619=0,"",IF(D618="[for completion]","",IF(D618="","",D618/$D$619)))</f>
        <v/>
      </c>
    </row>
    <row r="619" spans="1:7" x14ac:dyDescent="0.35">
      <c r="A619" s="275" t="s">
        <v>2440</v>
      </c>
      <c r="B619" s="270" t="s">
        <v>145</v>
      </c>
      <c r="C619" s="187">
        <f>SUM(C615:C618)</f>
        <v>0</v>
      </c>
      <c r="D619" s="188">
        <f>SUM(D615:D618)</f>
        <v>0</v>
      </c>
      <c r="E619" s="271"/>
      <c r="F619" s="265">
        <f>SUM(F615:F618)</f>
        <v>0</v>
      </c>
      <c r="G619" s="265">
        <f>SUM(G615:G618)</f>
        <v>0</v>
      </c>
    </row>
    <row r="620" spans="1:7" x14ac:dyDescent="0.35">
      <c r="A620" s="275"/>
    </row>
    <row r="621" spans="1:7" s="258" customFormat="1" x14ac:dyDescent="0.35">
      <c r="A621" s="156"/>
      <c r="B621" s="156" t="s">
        <v>2686</v>
      </c>
      <c r="C621" s="156" t="s">
        <v>2682</v>
      </c>
      <c r="D621" s="156" t="s">
        <v>2687</v>
      </c>
      <c r="E621" s="156"/>
      <c r="F621" s="156" t="s">
        <v>2684</v>
      </c>
      <c r="G621" s="156"/>
    </row>
    <row r="622" spans="1:7" x14ac:dyDescent="0.35">
      <c r="A622" s="329" t="s">
        <v>2443</v>
      </c>
      <c r="B622" s="368" t="s">
        <v>777</v>
      </c>
      <c r="C622" s="383" t="s">
        <v>82</v>
      </c>
      <c r="D622" s="384" t="s">
        <v>82</v>
      </c>
      <c r="E622" s="385"/>
      <c r="F622" s="384" t="s">
        <v>82</v>
      </c>
      <c r="G622" s="244" t="str">
        <f t="shared" ref="G622:G637" si="32">IF($D$640=0,"",IF(D622="[for completion]","",IF(D622="","",D622/$D$640)))</f>
        <v/>
      </c>
    </row>
    <row r="623" spans="1:7" x14ac:dyDescent="0.35">
      <c r="A623" s="329" t="s">
        <v>2444</v>
      </c>
      <c r="B623" s="368" t="s">
        <v>778</v>
      </c>
      <c r="C623" s="383" t="s">
        <v>82</v>
      </c>
      <c r="D623" s="384" t="s">
        <v>82</v>
      </c>
      <c r="E623" s="385"/>
      <c r="F623" s="384" t="s">
        <v>82</v>
      </c>
      <c r="G623" s="244" t="str">
        <f t="shared" si="32"/>
        <v/>
      </c>
    </row>
    <row r="624" spans="1:7" x14ac:dyDescent="0.35">
      <c r="A624" s="329" t="s">
        <v>2445</v>
      </c>
      <c r="B624" s="368" t="s">
        <v>779</v>
      </c>
      <c r="C624" s="383" t="s">
        <v>82</v>
      </c>
      <c r="D624" s="384" t="s">
        <v>82</v>
      </c>
      <c r="E624" s="385"/>
      <c r="F624" s="384" t="s">
        <v>82</v>
      </c>
      <c r="G624" s="244" t="str">
        <f t="shared" si="32"/>
        <v/>
      </c>
    </row>
    <row r="625" spans="1:7" x14ac:dyDescent="0.35">
      <c r="A625" s="329" t="s">
        <v>2446</v>
      </c>
      <c r="B625" s="368" t="s">
        <v>780</v>
      </c>
      <c r="C625" s="383" t="s">
        <v>82</v>
      </c>
      <c r="D625" s="384" t="s">
        <v>82</v>
      </c>
      <c r="E625" s="385"/>
      <c r="F625" s="384" t="s">
        <v>82</v>
      </c>
      <c r="G625" s="244" t="str">
        <f t="shared" si="32"/>
        <v/>
      </c>
    </row>
    <row r="626" spans="1:7" x14ac:dyDescent="0.35">
      <c r="A626" s="329" t="s">
        <v>2447</v>
      </c>
      <c r="B626" s="368" t="s">
        <v>781</v>
      </c>
      <c r="C626" s="383" t="s">
        <v>82</v>
      </c>
      <c r="D626" s="384" t="s">
        <v>82</v>
      </c>
      <c r="E626" s="385"/>
      <c r="F626" s="384" t="s">
        <v>82</v>
      </c>
      <c r="G626" s="244" t="str">
        <f t="shared" si="32"/>
        <v/>
      </c>
    </row>
    <row r="627" spans="1:7" x14ac:dyDescent="0.35">
      <c r="A627" s="329" t="s">
        <v>2448</v>
      </c>
      <c r="B627" s="368" t="s">
        <v>782</v>
      </c>
      <c r="C627" s="383" t="s">
        <v>82</v>
      </c>
      <c r="D627" s="384" t="s">
        <v>82</v>
      </c>
      <c r="E627" s="385"/>
      <c r="F627" s="384" t="s">
        <v>82</v>
      </c>
      <c r="G627" s="244" t="str">
        <f t="shared" si="32"/>
        <v/>
      </c>
    </row>
    <row r="628" spans="1:7" x14ac:dyDescent="0.35">
      <c r="A628" s="329" t="s">
        <v>2449</v>
      </c>
      <c r="B628" s="368" t="s">
        <v>783</v>
      </c>
      <c r="C628" s="383" t="s">
        <v>82</v>
      </c>
      <c r="D628" s="384" t="s">
        <v>82</v>
      </c>
      <c r="E628" s="385"/>
      <c r="F628" s="384" t="s">
        <v>82</v>
      </c>
      <c r="G628" s="244" t="str">
        <f t="shared" si="32"/>
        <v/>
      </c>
    </row>
    <row r="629" spans="1:7" x14ac:dyDescent="0.35">
      <c r="A629" s="329" t="s">
        <v>2450</v>
      </c>
      <c r="B629" s="368" t="s">
        <v>2212</v>
      </c>
      <c r="C629" s="383" t="s">
        <v>82</v>
      </c>
      <c r="D629" s="384" t="s">
        <v>82</v>
      </c>
      <c r="E629" s="385"/>
      <c r="F629" s="384" t="s">
        <v>82</v>
      </c>
      <c r="G629" s="244" t="str">
        <f t="shared" si="32"/>
        <v/>
      </c>
    </row>
    <row r="630" spans="1:7" x14ac:dyDescent="0.35">
      <c r="A630" s="329" t="s">
        <v>2451</v>
      </c>
      <c r="B630" s="368" t="s">
        <v>2213</v>
      </c>
      <c r="C630" s="383" t="s">
        <v>82</v>
      </c>
      <c r="D630" s="384" t="s">
        <v>82</v>
      </c>
      <c r="E630" s="385"/>
      <c r="F630" s="384" t="s">
        <v>82</v>
      </c>
      <c r="G630" s="244" t="str">
        <f t="shared" si="32"/>
        <v/>
      </c>
    </row>
    <row r="631" spans="1:7" x14ac:dyDescent="0.35">
      <c r="A631" s="329" t="s">
        <v>2452</v>
      </c>
      <c r="B631" s="368" t="s">
        <v>2214</v>
      </c>
      <c r="C631" s="383" t="s">
        <v>82</v>
      </c>
      <c r="D631" s="384" t="s">
        <v>82</v>
      </c>
      <c r="E631" s="385"/>
      <c r="F631" s="384" t="s">
        <v>82</v>
      </c>
      <c r="G631" s="244" t="str">
        <f t="shared" si="32"/>
        <v/>
      </c>
    </row>
    <row r="632" spans="1:7" x14ac:dyDescent="0.35">
      <c r="A632" s="329" t="s">
        <v>2453</v>
      </c>
      <c r="B632" s="368" t="s">
        <v>784</v>
      </c>
      <c r="C632" s="383" t="s">
        <v>82</v>
      </c>
      <c r="D632" s="384" t="s">
        <v>82</v>
      </c>
      <c r="E632" s="385"/>
      <c r="F632" s="384" t="s">
        <v>82</v>
      </c>
      <c r="G632" s="244" t="str">
        <f t="shared" si="32"/>
        <v/>
      </c>
    </row>
    <row r="633" spans="1:7" x14ac:dyDescent="0.35">
      <c r="A633" s="329" t="s">
        <v>2454</v>
      </c>
      <c r="B633" s="368" t="s">
        <v>785</v>
      </c>
      <c r="C633" s="383" t="s">
        <v>82</v>
      </c>
      <c r="D633" s="384" t="s">
        <v>82</v>
      </c>
      <c r="E633" s="385"/>
      <c r="F633" s="384" t="s">
        <v>82</v>
      </c>
      <c r="G633" s="244" t="str">
        <f t="shared" si="32"/>
        <v/>
      </c>
    </row>
    <row r="634" spans="1:7" x14ac:dyDescent="0.35">
      <c r="A634" s="329" t="s">
        <v>2455</v>
      </c>
      <c r="B634" s="368" t="s">
        <v>143</v>
      </c>
      <c r="C634" s="383" t="s">
        <v>82</v>
      </c>
      <c r="D634" s="384" t="s">
        <v>82</v>
      </c>
      <c r="E634" s="385"/>
      <c r="F634" s="384" t="s">
        <v>82</v>
      </c>
      <c r="G634" s="244" t="str">
        <f t="shared" si="32"/>
        <v/>
      </c>
    </row>
    <row r="635" spans="1:7" x14ac:dyDescent="0.35">
      <c r="A635" s="329" t="s">
        <v>2456</v>
      </c>
      <c r="B635" s="368" t="s">
        <v>2037</v>
      </c>
      <c r="C635" s="383" t="s">
        <v>82</v>
      </c>
      <c r="D635" s="384" t="s">
        <v>82</v>
      </c>
      <c r="E635" s="385"/>
      <c r="F635" s="384" t="s">
        <v>82</v>
      </c>
      <c r="G635" s="244" t="str">
        <f t="shared" si="32"/>
        <v/>
      </c>
    </row>
    <row r="636" spans="1:7" x14ac:dyDescent="0.35">
      <c r="A636" s="329" t="s">
        <v>2457</v>
      </c>
      <c r="B636" s="368" t="s">
        <v>145</v>
      </c>
      <c r="C636" s="381">
        <f>SUM(C622:C635)</f>
        <v>0</v>
      </c>
      <c r="D636" s="367">
        <f>SUM(D622:D635)</f>
        <v>0</v>
      </c>
      <c r="E636" s="345"/>
      <c r="F636" s="381"/>
      <c r="G636" s="244" t="str">
        <f t="shared" si="32"/>
        <v/>
      </c>
    </row>
    <row r="637" spans="1:7" x14ac:dyDescent="0.35">
      <c r="A637" s="329" t="s">
        <v>2458</v>
      </c>
      <c r="B637" s="264" t="s">
        <v>2681</v>
      </c>
      <c r="C637" s="108"/>
      <c r="D637" s="108"/>
      <c r="E637" s="108"/>
      <c r="F637" s="339" t="s">
        <v>82</v>
      </c>
      <c r="G637" s="244" t="str">
        <f t="shared" si="32"/>
        <v/>
      </c>
    </row>
    <row r="638" spans="1:7" x14ac:dyDescent="0.35">
      <c r="A638" s="329" t="s">
        <v>2459</v>
      </c>
      <c r="B638" s="357"/>
      <c r="C638" s="329"/>
      <c r="D638" s="329"/>
      <c r="E638" s="345"/>
      <c r="F638" s="244"/>
      <c r="G638" s="244"/>
    </row>
    <row r="639" spans="1:7" x14ac:dyDescent="0.35">
      <c r="A639" s="329" t="s">
        <v>2460</v>
      </c>
      <c r="B639" s="344"/>
      <c r="C639" s="329"/>
      <c r="D639" s="329"/>
      <c r="E639" s="345"/>
      <c r="F639" s="244"/>
      <c r="G639" s="244"/>
    </row>
    <row r="640" spans="1:7" x14ac:dyDescent="0.35">
      <c r="A640" s="329" t="s">
        <v>2461</v>
      </c>
      <c r="B640" s="344"/>
      <c r="C640" s="329"/>
      <c r="D640" s="329"/>
      <c r="E640" s="345"/>
      <c r="F640" s="349"/>
      <c r="G640" s="349"/>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96" location="'2. Harmonised Glossary'!A11" display="Loan to Value (LTV) Information - Indexed" xr:uid="{00000000-0004-0000-0E00-00000A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ignoredErrors>
    <ignoredError sqref="F3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activeCell="C7" sqref="C7"/>
    </sheetView>
  </sheetViews>
  <sheetFormatPr defaultColWidth="9.1796875" defaultRowHeight="14.5" x14ac:dyDescent="0.35"/>
  <cols>
    <col min="1" max="1" width="13.26953125" style="258" customWidth="1"/>
    <col min="2" max="2" width="59" style="258" customWidth="1"/>
    <col min="3" max="7" width="36.7265625" style="258" customWidth="1"/>
    <col min="8" max="16384" width="9.1796875" style="258"/>
  </cols>
  <sheetData>
    <row r="1" spans="1:9" ht="45" customHeight="1" x14ac:dyDescent="0.35">
      <c r="A1" s="891" t="s">
        <v>1511</v>
      </c>
      <c r="B1" s="891"/>
    </row>
    <row r="2" spans="1:9" ht="31" x14ac:dyDescent="0.35">
      <c r="A2" s="276" t="s">
        <v>2781</v>
      </c>
      <c r="B2" s="276"/>
      <c r="C2" s="267"/>
      <c r="D2" s="267"/>
      <c r="E2" s="267"/>
      <c r="F2" s="388" t="s">
        <v>2773</v>
      </c>
      <c r="G2" s="277"/>
    </row>
    <row r="3" spans="1:9" x14ac:dyDescent="0.35">
      <c r="A3" s="267"/>
      <c r="B3" s="267"/>
      <c r="C3" s="267"/>
      <c r="D3" s="267"/>
      <c r="E3" s="267"/>
      <c r="F3" s="267"/>
      <c r="G3" s="267"/>
    </row>
    <row r="4" spans="1:9" ht="15.75" customHeight="1" thickBot="1" x14ac:dyDescent="0.4">
      <c r="A4" s="267"/>
      <c r="B4" s="267"/>
      <c r="C4" s="278"/>
      <c r="D4" s="267"/>
      <c r="E4" s="267"/>
      <c r="F4" s="267"/>
      <c r="G4" s="267"/>
    </row>
    <row r="5" spans="1:9" ht="60.75" customHeight="1" thickBot="1" x14ac:dyDescent="0.4">
      <c r="A5" s="279"/>
      <c r="B5" s="280" t="s">
        <v>71</v>
      </c>
      <c r="C5" s="281" t="s">
        <v>210</v>
      </c>
      <c r="D5" s="279"/>
      <c r="E5" s="892" t="s">
        <v>2095</v>
      </c>
      <c r="F5" s="893"/>
      <c r="G5" s="282" t="s">
        <v>2094</v>
      </c>
      <c r="H5" s="273"/>
    </row>
    <row r="6" spans="1:9" x14ac:dyDescent="0.35">
      <c r="A6" s="268"/>
      <c r="B6" s="268"/>
      <c r="C6" s="268"/>
      <c r="D6" s="268"/>
      <c r="F6" s="283"/>
      <c r="G6" s="283"/>
    </row>
    <row r="7" spans="1:9" ht="18.75" customHeight="1" x14ac:dyDescent="0.35">
      <c r="A7" s="284"/>
      <c r="B7" s="877" t="s">
        <v>2122</v>
      </c>
      <c r="C7" s="878"/>
      <c r="D7" s="285"/>
      <c r="E7" s="877" t="s">
        <v>2111</v>
      </c>
      <c r="F7" s="894"/>
      <c r="G7" s="894"/>
      <c r="H7" s="878"/>
    </row>
    <row r="8" spans="1:9" ht="18.75" customHeight="1" x14ac:dyDescent="0.35">
      <c r="A8" s="268"/>
      <c r="B8" s="895" t="s">
        <v>2088</v>
      </c>
      <c r="C8" s="896"/>
      <c r="D8" s="285"/>
      <c r="E8" s="897" t="s">
        <v>82</v>
      </c>
      <c r="F8" s="898"/>
      <c r="G8" s="898"/>
      <c r="H8" s="899"/>
    </row>
    <row r="9" spans="1:9" ht="18.75" customHeight="1" x14ac:dyDescent="0.35">
      <c r="A9" s="268"/>
      <c r="B9" s="895" t="s">
        <v>2092</v>
      </c>
      <c r="C9" s="896"/>
      <c r="D9" s="286"/>
      <c r="E9" s="897"/>
      <c r="F9" s="898"/>
      <c r="G9" s="898"/>
      <c r="H9" s="899"/>
      <c r="I9" s="273"/>
    </row>
    <row r="10" spans="1:9" x14ac:dyDescent="0.35">
      <c r="A10" s="287"/>
      <c r="B10" s="900"/>
      <c r="C10" s="900"/>
      <c r="D10" s="285"/>
      <c r="E10" s="897"/>
      <c r="F10" s="898"/>
      <c r="G10" s="898"/>
      <c r="H10" s="899"/>
      <c r="I10" s="273"/>
    </row>
    <row r="11" spans="1:9" ht="15" thickBot="1" x14ac:dyDescent="0.4">
      <c r="A11" s="287"/>
      <c r="B11" s="901"/>
      <c r="C11" s="902"/>
      <c r="D11" s="286"/>
      <c r="E11" s="897"/>
      <c r="F11" s="898"/>
      <c r="G11" s="898"/>
      <c r="H11" s="899"/>
      <c r="I11" s="273"/>
    </row>
    <row r="12" spans="1:9" x14ac:dyDescent="0.35">
      <c r="A12" s="268"/>
      <c r="B12" s="288"/>
      <c r="C12" s="268"/>
      <c r="D12" s="268"/>
      <c r="E12" s="897"/>
      <c r="F12" s="898"/>
      <c r="G12" s="898"/>
      <c r="H12" s="899"/>
      <c r="I12" s="273"/>
    </row>
    <row r="13" spans="1:9" ht="15.75" customHeight="1" thickBot="1" x14ac:dyDescent="0.4">
      <c r="A13" s="268"/>
      <c r="B13" s="288"/>
      <c r="C13" s="268"/>
      <c r="D13" s="268"/>
      <c r="E13" s="886" t="s">
        <v>2123</v>
      </c>
      <c r="F13" s="887"/>
      <c r="G13" s="888" t="s">
        <v>2124</v>
      </c>
      <c r="H13" s="889"/>
      <c r="I13" s="273"/>
    </row>
    <row r="14" spans="1:9" x14ac:dyDescent="0.35">
      <c r="A14" s="268"/>
      <c r="B14" s="288"/>
      <c r="C14" s="268"/>
      <c r="D14" s="268"/>
      <c r="E14" s="289"/>
      <c r="F14" s="289"/>
      <c r="G14" s="268"/>
      <c r="H14" s="274"/>
    </row>
    <row r="15" spans="1:9" ht="18.75" customHeight="1" x14ac:dyDescent="0.35">
      <c r="A15" s="290"/>
      <c r="B15" s="890" t="s">
        <v>2125</v>
      </c>
      <c r="C15" s="890"/>
      <c r="D15" s="890"/>
      <c r="E15" s="290"/>
      <c r="F15" s="290"/>
      <c r="G15" s="290"/>
      <c r="H15" s="290"/>
    </row>
    <row r="16" spans="1:9" x14ac:dyDescent="0.35">
      <c r="A16" s="291"/>
      <c r="B16" s="291" t="s">
        <v>2089</v>
      </c>
      <c r="C16" s="291" t="s">
        <v>112</v>
      </c>
      <c r="D16" s="291" t="s">
        <v>1651</v>
      </c>
      <c r="E16" s="291"/>
      <c r="F16" s="291" t="s">
        <v>2090</v>
      </c>
      <c r="G16" s="291" t="s">
        <v>2091</v>
      </c>
      <c r="H16" s="291"/>
    </row>
    <row r="17" spans="1:8" x14ac:dyDescent="0.35">
      <c r="A17" s="268" t="s">
        <v>2096</v>
      </c>
      <c r="B17" s="270" t="s">
        <v>2097</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35">
      <c r="A18" s="270" t="s">
        <v>2126</v>
      </c>
      <c r="B18" s="293"/>
      <c r="C18" s="270"/>
      <c r="D18" s="270"/>
      <c r="F18" s="270"/>
      <c r="G18" s="270"/>
    </row>
    <row r="19" spans="1:8" x14ac:dyDescent="0.35">
      <c r="A19" s="270" t="s">
        <v>2127</v>
      </c>
      <c r="B19" s="270"/>
      <c r="C19" s="270"/>
      <c r="D19" s="270"/>
      <c r="F19" s="270"/>
      <c r="G19" s="270"/>
    </row>
    <row r="20" spans="1:8" ht="18.75" customHeight="1" x14ac:dyDescent="0.35">
      <c r="A20" s="290"/>
      <c r="B20" s="890" t="s">
        <v>2092</v>
      </c>
      <c r="C20" s="890"/>
      <c r="D20" s="890"/>
      <c r="E20" s="290"/>
      <c r="F20" s="290"/>
      <c r="G20" s="290"/>
      <c r="H20" s="290"/>
    </row>
    <row r="21" spans="1:8" x14ac:dyDescent="0.35">
      <c r="A21" s="291"/>
      <c r="B21" s="291" t="s">
        <v>2128</v>
      </c>
      <c r="C21" s="291" t="s">
        <v>2098</v>
      </c>
      <c r="D21" s="291" t="s">
        <v>2099</v>
      </c>
      <c r="E21" s="291" t="s">
        <v>2100</v>
      </c>
      <c r="F21" s="291" t="s">
        <v>2129</v>
      </c>
      <c r="G21" s="291" t="s">
        <v>2101</v>
      </c>
      <c r="H21" s="291" t="s">
        <v>2102</v>
      </c>
    </row>
    <row r="22" spans="1:8" ht="15" customHeight="1" x14ac:dyDescent="0.35">
      <c r="A22" s="269"/>
      <c r="B22" s="294" t="s">
        <v>2130</v>
      </c>
      <c r="C22" s="294"/>
      <c r="D22" s="269"/>
      <c r="E22" s="269"/>
      <c r="F22" s="269"/>
      <c r="G22" s="269"/>
      <c r="H22" s="269"/>
    </row>
    <row r="23" spans="1:8" x14ac:dyDescent="0.35">
      <c r="A23" s="268" t="s">
        <v>2103</v>
      </c>
      <c r="B23" s="268" t="s">
        <v>2113</v>
      </c>
      <c r="C23" s="295" t="s">
        <v>82</v>
      </c>
      <c r="D23" s="295" t="s">
        <v>82</v>
      </c>
      <c r="E23" s="295" t="s">
        <v>82</v>
      </c>
      <c r="F23" s="295" t="s">
        <v>82</v>
      </c>
      <c r="G23" s="295" t="s">
        <v>82</v>
      </c>
      <c r="H23" s="272">
        <f>SUM(C23:G23)</f>
        <v>0</v>
      </c>
    </row>
    <row r="24" spans="1:8" x14ac:dyDescent="0.35">
      <c r="A24" s="268" t="s">
        <v>2104</v>
      </c>
      <c r="B24" s="268" t="s">
        <v>2112</v>
      </c>
      <c r="C24" s="295" t="s">
        <v>82</v>
      </c>
      <c r="D24" s="295" t="s">
        <v>82</v>
      </c>
      <c r="E24" s="295" t="s">
        <v>82</v>
      </c>
      <c r="F24" s="295" t="s">
        <v>82</v>
      </c>
      <c r="G24" s="295" t="s">
        <v>82</v>
      </c>
      <c r="H24" s="272">
        <f>SUM(C24:G24)</f>
        <v>0</v>
      </c>
    </row>
    <row r="25" spans="1:8" x14ac:dyDescent="0.35">
      <c r="A25" s="268" t="s">
        <v>2105</v>
      </c>
      <c r="B25" s="268" t="s">
        <v>1644</v>
      </c>
      <c r="C25" s="295" t="s">
        <v>82</v>
      </c>
      <c r="D25" s="295" t="s">
        <v>82</v>
      </c>
      <c r="E25" s="295" t="s">
        <v>82</v>
      </c>
      <c r="F25" s="295" t="s">
        <v>82</v>
      </c>
      <c r="G25" s="295" t="s">
        <v>82</v>
      </c>
      <c r="H25" s="272">
        <f>SUM(C25:G25)</f>
        <v>0</v>
      </c>
    </row>
    <row r="26" spans="1:8" x14ac:dyDescent="0.35">
      <c r="A26" s="268" t="s">
        <v>2106</v>
      </c>
      <c r="B26" s="268" t="s">
        <v>2093</v>
      </c>
      <c r="C26" s="296">
        <f>SUM(C23:C25)+SUM(C27:C32)</f>
        <v>0</v>
      </c>
      <c r="D26" s="296">
        <f>SUM(D23:D25)+SUM(D27:D32)</f>
        <v>0</v>
      </c>
      <c r="E26" s="296">
        <f>SUM(E23:E25)+SUM(E27:E32)</f>
        <v>0</v>
      </c>
      <c r="F26" s="296">
        <f>SUM(F23:F25)+SUM(F27:F32)</f>
        <v>0</v>
      </c>
      <c r="G26" s="296">
        <f>SUM(G23:G25)+SUM(G27:G32)</f>
        <v>0</v>
      </c>
      <c r="H26" s="296">
        <f>SUM(H23:H25)</f>
        <v>0</v>
      </c>
    </row>
    <row r="27" spans="1:8" x14ac:dyDescent="0.35">
      <c r="A27" s="268" t="s">
        <v>2107</v>
      </c>
      <c r="B27" s="343" t="s">
        <v>2317</v>
      </c>
      <c r="C27" s="295"/>
      <c r="D27" s="295"/>
      <c r="E27" s="295"/>
      <c r="F27" s="295"/>
      <c r="G27" s="295"/>
      <c r="H27" s="257">
        <f>IF(SUM(C27:G27)="","",SUM(C27:G27))</f>
        <v>0</v>
      </c>
    </row>
    <row r="28" spans="1:8" x14ac:dyDescent="0.35">
      <c r="A28" s="268" t="s">
        <v>2108</v>
      </c>
      <c r="B28" s="343" t="s">
        <v>2317</v>
      </c>
      <c r="C28" s="295"/>
      <c r="D28" s="295"/>
      <c r="E28" s="295"/>
      <c r="F28" s="295"/>
      <c r="G28" s="295"/>
      <c r="H28" s="272">
        <f>IF(SUM(C28:G28)="","",SUM(C28:G28))</f>
        <v>0</v>
      </c>
    </row>
    <row r="29" spans="1:8" x14ac:dyDescent="0.35">
      <c r="A29" s="268" t="s">
        <v>2109</v>
      </c>
      <c r="B29" s="343" t="s">
        <v>2317</v>
      </c>
      <c r="C29" s="295"/>
      <c r="D29" s="295"/>
      <c r="E29" s="295"/>
      <c r="F29" s="295"/>
      <c r="G29" s="295"/>
      <c r="H29" s="272">
        <f>IF(SUM(C29:G29)="","",SUM(C29:G29))</f>
        <v>0</v>
      </c>
    </row>
    <row r="30" spans="1:8" x14ac:dyDescent="0.35">
      <c r="A30" s="268" t="s">
        <v>2110</v>
      </c>
      <c r="B30" s="343" t="s">
        <v>2317</v>
      </c>
      <c r="C30" s="295"/>
      <c r="D30" s="295"/>
      <c r="E30" s="295"/>
      <c r="F30" s="295"/>
      <c r="G30" s="295"/>
      <c r="H30" s="272">
        <f>IF(SUM(C30:G30)="","",SUM(C30:G30))</f>
        <v>0</v>
      </c>
    </row>
    <row r="31" spans="1:8" x14ac:dyDescent="0.35">
      <c r="A31" s="268" t="s">
        <v>2315</v>
      </c>
      <c r="B31" s="343" t="s">
        <v>2317</v>
      </c>
      <c r="C31" s="298"/>
      <c r="D31" s="292"/>
      <c r="E31" s="292"/>
      <c r="F31" s="299"/>
      <c r="G31" s="300"/>
    </row>
    <row r="32" spans="1:8" x14ac:dyDescent="0.35">
      <c r="A32" s="268" t="s">
        <v>2316</v>
      </c>
      <c r="B32" s="343" t="s">
        <v>2317</v>
      </c>
      <c r="C32" s="301"/>
      <c r="D32" s="268"/>
      <c r="E32" s="268"/>
      <c r="F32" s="257"/>
      <c r="G32" s="271"/>
    </row>
    <row r="33" spans="1:7" x14ac:dyDescent="0.35">
      <c r="A33" s="268"/>
      <c r="B33" s="297"/>
      <c r="C33" s="301"/>
      <c r="D33" s="268"/>
      <c r="E33" s="268"/>
      <c r="F33" s="257"/>
      <c r="G33" s="271"/>
    </row>
    <row r="34" spans="1:7" x14ac:dyDescent="0.35">
      <c r="A34" s="268"/>
      <c r="B34" s="297"/>
      <c r="C34" s="301"/>
      <c r="D34" s="268"/>
      <c r="E34" s="268"/>
      <c r="F34" s="257"/>
      <c r="G34" s="271"/>
    </row>
    <row r="35" spans="1:7" x14ac:dyDescent="0.35">
      <c r="A35" s="268"/>
      <c r="B35" s="297"/>
      <c r="C35" s="301"/>
      <c r="D35" s="268"/>
      <c r="F35" s="257"/>
      <c r="G35" s="271"/>
    </row>
    <row r="36" spans="1:7" x14ac:dyDescent="0.35">
      <c r="A36" s="268"/>
      <c r="B36" s="268"/>
      <c r="C36" s="256"/>
      <c r="D36" s="256"/>
      <c r="E36" s="256"/>
      <c r="F36" s="256"/>
      <c r="G36" s="270"/>
    </row>
    <row r="37" spans="1:7" x14ac:dyDescent="0.35">
      <c r="A37" s="268"/>
      <c r="B37" s="268"/>
      <c r="C37" s="256"/>
      <c r="D37" s="256"/>
      <c r="E37" s="256"/>
      <c r="F37" s="256"/>
      <c r="G37" s="270"/>
    </row>
    <row r="38" spans="1:7" x14ac:dyDescent="0.35">
      <c r="A38" s="268"/>
      <c r="B38" s="268"/>
      <c r="C38" s="256"/>
      <c r="D38" s="256"/>
      <c r="E38" s="256"/>
      <c r="F38" s="256"/>
      <c r="G38" s="270"/>
    </row>
    <row r="39" spans="1:7" x14ac:dyDescent="0.35">
      <c r="A39" s="268"/>
      <c r="B39" s="268"/>
      <c r="C39" s="256"/>
      <c r="D39" s="256"/>
      <c r="E39" s="256"/>
      <c r="F39" s="256"/>
      <c r="G39" s="270"/>
    </row>
    <row r="40" spans="1:7" x14ac:dyDescent="0.35">
      <c r="A40" s="268"/>
      <c r="B40" s="268"/>
      <c r="C40" s="256"/>
      <c r="D40" s="256"/>
      <c r="E40" s="256"/>
      <c r="F40" s="256"/>
      <c r="G40" s="270"/>
    </row>
    <row r="41" spans="1:7" x14ac:dyDescent="0.35">
      <c r="A41" s="268"/>
      <c r="B41" s="268"/>
      <c r="C41" s="256"/>
      <c r="D41" s="256"/>
      <c r="E41" s="256"/>
      <c r="F41" s="256"/>
      <c r="G41" s="270"/>
    </row>
    <row r="42" spans="1:7" x14ac:dyDescent="0.35">
      <c r="A42" s="268"/>
      <c r="B42" s="268"/>
      <c r="C42" s="256"/>
      <c r="D42" s="256"/>
      <c r="E42" s="256"/>
      <c r="F42" s="256"/>
      <c r="G42" s="270"/>
    </row>
    <row r="43" spans="1:7" x14ac:dyDescent="0.35">
      <c r="A43" s="268"/>
      <c r="B43" s="268"/>
      <c r="C43" s="256"/>
      <c r="D43" s="256"/>
      <c r="E43" s="256"/>
      <c r="F43" s="256"/>
      <c r="G43" s="270"/>
    </row>
    <row r="44" spans="1:7" x14ac:dyDescent="0.35">
      <c r="A44" s="268"/>
      <c r="B44" s="268"/>
      <c r="C44" s="256"/>
      <c r="D44" s="256"/>
      <c r="E44" s="256"/>
      <c r="F44" s="256"/>
      <c r="G44" s="270"/>
    </row>
    <row r="45" spans="1:7" x14ac:dyDescent="0.35">
      <c r="A45" s="268"/>
      <c r="B45" s="268"/>
      <c r="C45" s="256"/>
      <c r="D45" s="256"/>
      <c r="E45" s="256"/>
      <c r="F45" s="256"/>
      <c r="G45" s="270"/>
    </row>
    <row r="46" spans="1:7" x14ac:dyDescent="0.35">
      <c r="A46" s="268"/>
      <c r="B46" s="268"/>
      <c r="C46" s="256"/>
      <c r="D46" s="256"/>
      <c r="E46" s="256"/>
      <c r="F46" s="256"/>
      <c r="G46" s="270"/>
    </row>
    <row r="47" spans="1:7" x14ac:dyDescent="0.35">
      <c r="A47" s="268"/>
      <c r="B47" s="268"/>
      <c r="C47" s="256"/>
      <c r="D47" s="256"/>
      <c r="E47" s="256"/>
      <c r="F47" s="256"/>
      <c r="G47" s="270"/>
    </row>
    <row r="48" spans="1:7" x14ac:dyDescent="0.35">
      <c r="A48" s="268"/>
      <c r="B48" s="268"/>
      <c r="C48" s="256"/>
      <c r="D48" s="256"/>
      <c r="E48" s="256"/>
      <c r="F48" s="256"/>
      <c r="G48" s="270"/>
    </row>
    <row r="49" spans="1:7" x14ac:dyDescent="0.35">
      <c r="A49" s="268"/>
      <c r="B49" s="268"/>
      <c r="C49" s="256"/>
      <c r="D49" s="256"/>
      <c r="E49" s="256"/>
      <c r="F49" s="256"/>
      <c r="G49" s="270"/>
    </row>
    <row r="50" spans="1:7" x14ac:dyDescent="0.35">
      <c r="A50" s="268"/>
      <c r="B50" s="268"/>
      <c r="C50" s="256"/>
      <c r="D50" s="256"/>
      <c r="E50" s="256"/>
      <c r="F50" s="256"/>
      <c r="G50" s="270"/>
    </row>
    <row r="51" spans="1:7" x14ac:dyDescent="0.35">
      <c r="A51" s="268"/>
      <c r="B51" s="268"/>
      <c r="C51" s="256"/>
      <c r="D51" s="256"/>
      <c r="E51" s="256"/>
      <c r="F51" s="256"/>
      <c r="G51" s="270"/>
    </row>
    <row r="52" spans="1:7" x14ac:dyDescent="0.35">
      <c r="A52" s="268"/>
      <c r="B52" s="268"/>
      <c r="C52" s="256"/>
      <c r="D52" s="256"/>
      <c r="E52" s="256"/>
      <c r="F52" s="256"/>
      <c r="G52" s="270"/>
    </row>
    <row r="53" spans="1:7" x14ac:dyDescent="0.35">
      <c r="A53" s="268"/>
      <c r="B53" s="268"/>
      <c r="C53" s="256"/>
      <c r="D53" s="256"/>
      <c r="E53" s="256"/>
      <c r="F53" s="256"/>
      <c r="G53" s="270"/>
    </row>
    <row r="54" spans="1:7" x14ac:dyDescent="0.35">
      <c r="A54" s="268"/>
      <c r="B54" s="268"/>
      <c r="C54" s="256"/>
      <c r="D54" s="256"/>
      <c r="E54" s="256"/>
      <c r="F54" s="256"/>
      <c r="G54" s="270"/>
    </row>
    <row r="55" spans="1:7" x14ac:dyDescent="0.35">
      <c r="A55" s="268"/>
      <c r="B55" s="268"/>
      <c r="C55" s="256"/>
      <c r="D55" s="256"/>
      <c r="E55" s="256"/>
      <c r="F55" s="256"/>
      <c r="G55" s="270"/>
    </row>
    <row r="56" spans="1:7" x14ac:dyDescent="0.35">
      <c r="A56" s="268"/>
      <c r="B56" s="268"/>
      <c r="C56" s="256"/>
      <c r="D56" s="256"/>
      <c r="E56" s="256"/>
      <c r="F56" s="256"/>
      <c r="G56" s="270"/>
    </row>
    <row r="57" spans="1:7" x14ac:dyDescent="0.35">
      <c r="A57" s="268"/>
      <c r="B57" s="268"/>
      <c r="C57" s="256"/>
      <c r="D57" s="256"/>
      <c r="E57" s="256"/>
      <c r="F57" s="256"/>
      <c r="G57" s="270"/>
    </row>
    <row r="58" spans="1:7" x14ac:dyDescent="0.35">
      <c r="A58" s="268"/>
      <c r="B58" s="268"/>
      <c r="C58" s="256"/>
      <c r="D58" s="256"/>
      <c r="E58" s="256"/>
      <c r="F58" s="256"/>
      <c r="G58" s="270"/>
    </row>
    <row r="59" spans="1:7" x14ac:dyDescent="0.35">
      <c r="A59" s="268"/>
      <c r="B59" s="268"/>
      <c r="C59" s="256"/>
      <c r="D59" s="256"/>
      <c r="E59" s="256"/>
      <c r="F59" s="256"/>
      <c r="G59" s="270"/>
    </row>
    <row r="60" spans="1:7" x14ac:dyDescent="0.35">
      <c r="A60" s="268"/>
      <c r="B60" s="268"/>
      <c r="C60" s="256"/>
      <c r="D60" s="256"/>
      <c r="E60" s="256"/>
      <c r="F60" s="256"/>
      <c r="G60" s="270"/>
    </row>
    <row r="61" spans="1:7" x14ac:dyDescent="0.35">
      <c r="A61" s="268"/>
      <c r="B61" s="268"/>
      <c r="C61" s="256"/>
      <c r="D61" s="256"/>
      <c r="E61" s="256"/>
      <c r="F61" s="256"/>
      <c r="G61" s="270"/>
    </row>
    <row r="62" spans="1:7" x14ac:dyDescent="0.35">
      <c r="A62" s="268"/>
      <c r="B62" s="268"/>
      <c r="C62" s="256"/>
      <c r="D62" s="256"/>
      <c r="E62" s="256"/>
      <c r="F62" s="256"/>
      <c r="G62" s="270"/>
    </row>
    <row r="63" spans="1:7" x14ac:dyDescent="0.35">
      <c r="A63" s="268"/>
      <c r="B63" s="302"/>
      <c r="C63" s="303"/>
      <c r="D63" s="303"/>
      <c r="E63" s="256"/>
      <c r="F63" s="303"/>
      <c r="G63" s="270"/>
    </row>
    <row r="64" spans="1:7" x14ac:dyDescent="0.35">
      <c r="A64" s="268"/>
      <c r="B64" s="268"/>
      <c r="C64" s="256"/>
      <c r="D64" s="256"/>
      <c r="E64" s="256"/>
      <c r="F64" s="256"/>
      <c r="G64" s="270"/>
    </row>
    <row r="65" spans="1:7" x14ac:dyDescent="0.35">
      <c r="A65" s="268"/>
      <c r="B65" s="268"/>
      <c r="C65" s="256"/>
      <c r="D65" s="256"/>
      <c r="E65" s="256"/>
      <c r="F65" s="256"/>
      <c r="G65" s="270"/>
    </row>
    <row r="66" spans="1:7" x14ac:dyDescent="0.35">
      <c r="A66" s="268"/>
      <c r="B66" s="268"/>
      <c r="C66" s="256"/>
      <c r="D66" s="256"/>
      <c r="E66" s="256"/>
      <c r="F66" s="256"/>
      <c r="G66" s="270"/>
    </row>
    <row r="67" spans="1:7" x14ac:dyDescent="0.35">
      <c r="A67" s="268"/>
      <c r="B67" s="302"/>
      <c r="C67" s="303"/>
      <c r="D67" s="303"/>
      <c r="E67" s="256"/>
      <c r="F67" s="303"/>
      <c r="G67" s="270"/>
    </row>
    <row r="68" spans="1:7" x14ac:dyDescent="0.35">
      <c r="A68" s="268"/>
      <c r="B68" s="270"/>
      <c r="C68" s="256"/>
      <c r="D68" s="256"/>
      <c r="E68" s="256"/>
      <c r="F68" s="256"/>
      <c r="G68" s="270"/>
    </row>
    <row r="69" spans="1:7" x14ac:dyDescent="0.35">
      <c r="A69" s="268"/>
      <c r="B69" s="268"/>
      <c r="C69" s="256"/>
      <c r="D69" s="256"/>
      <c r="E69" s="256"/>
      <c r="F69" s="256"/>
      <c r="G69" s="270"/>
    </row>
    <row r="70" spans="1:7" x14ac:dyDescent="0.35">
      <c r="A70" s="268"/>
      <c r="B70" s="270"/>
      <c r="C70" s="256"/>
      <c r="D70" s="256"/>
      <c r="E70" s="256"/>
      <c r="F70" s="256"/>
      <c r="G70" s="270"/>
    </row>
    <row r="71" spans="1:7" x14ac:dyDescent="0.35">
      <c r="A71" s="268"/>
      <c r="B71" s="270"/>
      <c r="C71" s="256"/>
      <c r="D71" s="256"/>
      <c r="E71" s="256"/>
      <c r="F71" s="256"/>
      <c r="G71" s="270"/>
    </row>
    <row r="72" spans="1:7" x14ac:dyDescent="0.35">
      <c r="A72" s="268"/>
      <c r="B72" s="270"/>
      <c r="C72" s="256"/>
      <c r="D72" s="256"/>
      <c r="E72" s="256"/>
      <c r="F72" s="256"/>
      <c r="G72" s="270"/>
    </row>
    <row r="73" spans="1:7" x14ac:dyDescent="0.35">
      <c r="A73" s="268"/>
      <c r="B73" s="270"/>
      <c r="C73" s="256"/>
      <c r="D73" s="256"/>
      <c r="E73" s="256"/>
      <c r="F73" s="256"/>
      <c r="G73" s="270"/>
    </row>
    <row r="74" spans="1:7" x14ac:dyDescent="0.35">
      <c r="A74" s="268"/>
      <c r="B74" s="270"/>
      <c r="C74" s="256"/>
      <c r="D74" s="256"/>
      <c r="E74" s="256"/>
      <c r="F74" s="256"/>
      <c r="G74" s="270"/>
    </row>
    <row r="75" spans="1:7" x14ac:dyDescent="0.35">
      <c r="A75" s="268"/>
      <c r="B75" s="270"/>
      <c r="C75" s="256"/>
      <c r="D75" s="256"/>
      <c r="E75" s="256"/>
      <c r="F75" s="256"/>
      <c r="G75" s="270"/>
    </row>
    <row r="76" spans="1:7" x14ac:dyDescent="0.35">
      <c r="A76" s="268"/>
      <c r="B76" s="270"/>
      <c r="C76" s="256"/>
      <c r="D76" s="256"/>
      <c r="E76" s="256"/>
      <c r="F76" s="256"/>
      <c r="G76" s="270"/>
    </row>
    <row r="77" spans="1:7" x14ac:dyDescent="0.35">
      <c r="A77" s="268"/>
      <c r="B77" s="270"/>
      <c r="C77" s="256"/>
      <c r="D77" s="256"/>
      <c r="E77" s="256"/>
      <c r="F77" s="256"/>
      <c r="G77" s="270"/>
    </row>
    <row r="78" spans="1:7" x14ac:dyDescent="0.35">
      <c r="A78" s="268"/>
      <c r="B78" s="270"/>
      <c r="C78" s="256"/>
      <c r="D78" s="256"/>
      <c r="E78" s="256"/>
      <c r="F78" s="256"/>
      <c r="G78" s="270"/>
    </row>
    <row r="79" spans="1:7" x14ac:dyDescent="0.35">
      <c r="A79" s="268"/>
      <c r="B79" s="297"/>
      <c r="C79" s="256"/>
      <c r="D79" s="256"/>
      <c r="E79" s="256"/>
      <c r="F79" s="256"/>
      <c r="G79" s="270"/>
    </row>
    <row r="80" spans="1:7" x14ac:dyDescent="0.35">
      <c r="A80" s="268"/>
      <c r="B80" s="297"/>
      <c r="C80" s="256"/>
      <c r="D80" s="256"/>
      <c r="E80" s="256"/>
      <c r="F80" s="256"/>
      <c r="G80" s="270"/>
    </row>
    <row r="81" spans="1:7" x14ac:dyDescent="0.35">
      <c r="A81" s="268"/>
      <c r="B81" s="297"/>
      <c r="C81" s="256"/>
      <c r="D81" s="256"/>
      <c r="E81" s="256"/>
      <c r="F81" s="256"/>
      <c r="G81" s="270"/>
    </row>
    <row r="82" spans="1:7" x14ac:dyDescent="0.35">
      <c r="A82" s="268"/>
      <c r="B82" s="297"/>
      <c r="C82" s="256"/>
      <c r="D82" s="256"/>
      <c r="E82" s="256"/>
      <c r="F82" s="256"/>
      <c r="G82" s="270"/>
    </row>
    <row r="83" spans="1:7" x14ac:dyDescent="0.35">
      <c r="A83" s="268"/>
      <c r="B83" s="297"/>
      <c r="C83" s="256"/>
      <c r="D83" s="256"/>
      <c r="E83" s="256"/>
      <c r="F83" s="256"/>
      <c r="G83" s="270"/>
    </row>
    <row r="84" spans="1:7" x14ac:dyDescent="0.35">
      <c r="A84" s="268"/>
      <c r="B84" s="297"/>
      <c r="C84" s="256"/>
      <c r="D84" s="256"/>
      <c r="E84" s="256"/>
      <c r="F84" s="256"/>
      <c r="G84" s="270"/>
    </row>
    <row r="85" spans="1:7" x14ac:dyDescent="0.35">
      <c r="A85" s="268"/>
      <c r="B85" s="297"/>
      <c r="C85" s="256"/>
      <c r="D85" s="256"/>
      <c r="E85" s="256"/>
      <c r="F85" s="256"/>
      <c r="G85" s="270"/>
    </row>
    <row r="86" spans="1:7" x14ac:dyDescent="0.35">
      <c r="A86" s="268"/>
      <c r="B86" s="297"/>
      <c r="C86" s="256"/>
      <c r="D86" s="256"/>
      <c r="E86" s="256"/>
      <c r="F86" s="256"/>
      <c r="G86" s="270"/>
    </row>
    <row r="87" spans="1:7" x14ac:dyDescent="0.35">
      <c r="A87" s="268"/>
      <c r="B87" s="297"/>
      <c r="C87" s="256"/>
      <c r="D87" s="256"/>
      <c r="E87" s="256"/>
      <c r="F87" s="256"/>
      <c r="G87" s="270"/>
    </row>
    <row r="88" spans="1:7" x14ac:dyDescent="0.35">
      <c r="A88" s="268"/>
      <c r="B88" s="297"/>
      <c r="C88" s="256"/>
      <c r="D88" s="256"/>
      <c r="E88" s="256"/>
      <c r="F88" s="256"/>
      <c r="G88" s="270"/>
    </row>
    <row r="89" spans="1:7" x14ac:dyDescent="0.35">
      <c r="A89" s="291"/>
      <c r="B89" s="291"/>
      <c r="C89" s="291"/>
      <c r="D89" s="291"/>
      <c r="E89" s="291"/>
      <c r="F89" s="291"/>
      <c r="G89" s="291"/>
    </row>
    <row r="90" spans="1:7" x14ac:dyDescent="0.35">
      <c r="A90" s="268"/>
      <c r="B90" s="270"/>
      <c r="C90" s="256"/>
      <c r="D90" s="256"/>
      <c r="E90" s="256"/>
      <c r="F90" s="256"/>
      <c r="G90" s="270"/>
    </row>
    <row r="91" spans="1:7" x14ac:dyDescent="0.35">
      <c r="A91" s="268"/>
      <c r="B91" s="270"/>
      <c r="C91" s="256"/>
      <c r="D91" s="256"/>
      <c r="E91" s="256"/>
      <c r="F91" s="256"/>
      <c r="G91" s="270"/>
    </row>
    <row r="92" spans="1:7" x14ac:dyDescent="0.35">
      <c r="A92" s="268"/>
      <c r="B92" s="270"/>
      <c r="C92" s="256"/>
      <c r="D92" s="256"/>
      <c r="E92" s="256"/>
      <c r="F92" s="256"/>
      <c r="G92" s="270"/>
    </row>
    <row r="93" spans="1:7" x14ac:dyDescent="0.35">
      <c r="A93" s="268"/>
      <c r="B93" s="270"/>
      <c r="C93" s="256"/>
      <c r="D93" s="256"/>
      <c r="E93" s="256"/>
      <c r="F93" s="256"/>
      <c r="G93" s="270"/>
    </row>
    <row r="94" spans="1:7" x14ac:dyDescent="0.35">
      <c r="A94" s="268"/>
      <c r="B94" s="270"/>
      <c r="C94" s="256"/>
      <c r="D94" s="256"/>
      <c r="E94" s="256"/>
      <c r="F94" s="256"/>
      <c r="G94" s="270"/>
    </row>
    <row r="95" spans="1:7" x14ac:dyDescent="0.35">
      <c r="A95" s="268"/>
      <c r="B95" s="270"/>
      <c r="C95" s="256"/>
      <c r="D95" s="256"/>
      <c r="E95" s="256"/>
      <c r="F95" s="256"/>
      <c r="G95" s="270"/>
    </row>
    <row r="96" spans="1:7" x14ac:dyDescent="0.35">
      <c r="A96" s="268"/>
      <c r="B96" s="270"/>
      <c r="C96" s="256"/>
      <c r="D96" s="256"/>
      <c r="E96" s="256"/>
      <c r="F96" s="256"/>
      <c r="G96" s="270"/>
    </row>
    <row r="97" spans="1:7" x14ac:dyDescent="0.35">
      <c r="A97" s="268"/>
      <c r="B97" s="270"/>
      <c r="C97" s="256"/>
      <c r="D97" s="256"/>
      <c r="E97" s="256"/>
      <c r="F97" s="256"/>
      <c r="G97" s="270"/>
    </row>
    <row r="98" spans="1:7" x14ac:dyDescent="0.35">
      <c r="A98" s="268"/>
      <c r="B98" s="270"/>
      <c r="C98" s="256"/>
      <c r="D98" s="256"/>
      <c r="E98" s="256"/>
      <c r="F98" s="256"/>
      <c r="G98" s="270"/>
    </row>
    <row r="99" spans="1:7" x14ac:dyDescent="0.35">
      <c r="A99" s="268"/>
      <c r="B99" s="270"/>
      <c r="C99" s="256"/>
      <c r="D99" s="256"/>
      <c r="E99" s="256"/>
      <c r="F99" s="256"/>
      <c r="G99" s="270"/>
    </row>
    <row r="100" spans="1:7" x14ac:dyDescent="0.35">
      <c r="A100" s="268"/>
      <c r="B100" s="270"/>
      <c r="C100" s="256"/>
      <c r="D100" s="256"/>
      <c r="E100" s="256"/>
      <c r="F100" s="256"/>
      <c r="G100" s="270"/>
    </row>
    <row r="101" spans="1:7" x14ac:dyDescent="0.35">
      <c r="A101" s="268"/>
      <c r="B101" s="270"/>
      <c r="C101" s="256"/>
      <c r="D101" s="256"/>
      <c r="E101" s="256"/>
      <c r="F101" s="256"/>
      <c r="G101" s="270"/>
    </row>
    <row r="102" spans="1:7" x14ac:dyDescent="0.35">
      <c r="A102" s="268"/>
      <c r="B102" s="270"/>
      <c r="C102" s="256"/>
      <c r="D102" s="256"/>
      <c r="E102" s="256"/>
      <c r="F102" s="256"/>
      <c r="G102" s="270"/>
    </row>
    <row r="103" spans="1:7" x14ac:dyDescent="0.35">
      <c r="A103" s="268"/>
      <c r="B103" s="270"/>
      <c r="C103" s="256"/>
      <c r="D103" s="256"/>
      <c r="E103" s="256"/>
      <c r="F103" s="256"/>
      <c r="G103" s="270"/>
    </row>
    <row r="104" spans="1:7" x14ac:dyDescent="0.35">
      <c r="A104" s="268"/>
      <c r="B104" s="270"/>
      <c r="C104" s="256"/>
      <c r="D104" s="256"/>
      <c r="E104" s="256"/>
      <c r="F104" s="256"/>
      <c r="G104" s="270"/>
    </row>
    <row r="105" spans="1:7" x14ac:dyDescent="0.35">
      <c r="A105" s="268"/>
      <c r="B105" s="270"/>
      <c r="C105" s="256"/>
      <c r="D105" s="256"/>
      <c r="E105" s="256"/>
      <c r="F105" s="256"/>
      <c r="G105" s="270"/>
    </row>
    <row r="106" spans="1:7" x14ac:dyDescent="0.35">
      <c r="A106" s="268"/>
      <c r="B106" s="270"/>
      <c r="C106" s="256"/>
      <c r="D106" s="256"/>
      <c r="E106" s="256"/>
      <c r="F106" s="256"/>
      <c r="G106" s="270"/>
    </row>
    <row r="107" spans="1:7" x14ac:dyDescent="0.35">
      <c r="A107" s="268"/>
      <c r="B107" s="270"/>
      <c r="C107" s="256"/>
      <c r="D107" s="256"/>
      <c r="E107" s="256"/>
      <c r="F107" s="256"/>
      <c r="G107" s="270"/>
    </row>
    <row r="108" spans="1:7" x14ac:dyDescent="0.35">
      <c r="A108" s="268"/>
      <c r="B108" s="270"/>
      <c r="C108" s="256"/>
      <c r="D108" s="256"/>
      <c r="E108" s="256"/>
      <c r="F108" s="256"/>
      <c r="G108" s="270"/>
    </row>
    <row r="109" spans="1:7" x14ac:dyDescent="0.35">
      <c r="A109" s="268"/>
      <c r="B109" s="270"/>
      <c r="C109" s="256"/>
      <c r="D109" s="256"/>
      <c r="E109" s="256"/>
      <c r="F109" s="256"/>
      <c r="G109" s="270"/>
    </row>
    <row r="110" spans="1:7" x14ac:dyDescent="0.35">
      <c r="A110" s="268"/>
      <c r="B110" s="270"/>
      <c r="C110" s="256"/>
      <c r="D110" s="256"/>
      <c r="E110" s="256"/>
      <c r="F110" s="256"/>
      <c r="G110" s="270"/>
    </row>
    <row r="111" spans="1:7" x14ac:dyDescent="0.35">
      <c r="A111" s="268"/>
      <c r="B111" s="270"/>
      <c r="C111" s="256"/>
      <c r="D111" s="256"/>
      <c r="E111" s="256"/>
      <c r="F111" s="256"/>
      <c r="G111" s="270"/>
    </row>
    <row r="112" spans="1:7" x14ac:dyDescent="0.35">
      <c r="A112" s="268"/>
      <c r="B112" s="270"/>
      <c r="C112" s="256"/>
      <c r="D112" s="256"/>
      <c r="E112" s="256"/>
      <c r="F112" s="256"/>
      <c r="G112" s="270"/>
    </row>
    <row r="113" spans="1:7" x14ac:dyDescent="0.35">
      <c r="A113" s="268"/>
      <c r="B113" s="270"/>
      <c r="C113" s="256"/>
      <c r="D113" s="256"/>
      <c r="E113" s="256"/>
      <c r="F113" s="256"/>
      <c r="G113" s="270"/>
    </row>
    <row r="114" spans="1:7" x14ac:dyDescent="0.35">
      <c r="A114" s="268"/>
      <c r="B114" s="270"/>
      <c r="C114" s="256"/>
      <c r="D114" s="256"/>
      <c r="E114" s="256"/>
      <c r="F114" s="256"/>
      <c r="G114" s="270"/>
    </row>
    <row r="115" spans="1:7" x14ac:dyDescent="0.35">
      <c r="A115" s="268"/>
      <c r="B115" s="270"/>
      <c r="C115" s="256"/>
      <c r="D115" s="256"/>
      <c r="E115" s="256"/>
      <c r="F115" s="256"/>
      <c r="G115" s="270"/>
    </row>
    <row r="116" spans="1:7" x14ac:dyDescent="0.35">
      <c r="A116" s="268"/>
      <c r="B116" s="270"/>
      <c r="C116" s="256"/>
      <c r="D116" s="256"/>
      <c r="E116" s="256"/>
      <c r="F116" s="256"/>
      <c r="G116" s="270"/>
    </row>
    <row r="117" spans="1:7" x14ac:dyDescent="0.35">
      <c r="A117" s="268"/>
      <c r="B117" s="270"/>
      <c r="C117" s="256"/>
      <c r="D117" s="256"/>
      <c r="E117" s="256"/>
      <c r="F117" s="256"/>
      <c r="G117" s="270"/>
    </row>
    <row r="118" spans="1:7" x14ac:dyDescent="0.35">
      <c r="A118" s="268"/>
      <c r="B118" s="270"/>
      <c r="C118" s="256"/>
      <c r="D118" s="256"/>
      <c r="E118" s="256"/>
      <c r="F118" s="256"/>
      <c r="G118" s="270"/>
    </row>
    <row r="119" spans="1:7" x14ac:dyDescent="0.35">
      <c r="A119" s="268"/>
      <c r="B119" s="270"/>
      <c r="C119" s="256"/>
      <c r="D119" s="256"/>
      <c r="E119" s="256"/>
      <c r="F119" s="256"/>
      <c r="G119" s="270"/>
    </row>
    <row r="120" spans="1:7" x14ac:dyDescent="0.35">
      <c r="A120" s="268"/>
      <c r="B120" s="270"/>
      <c r="C120" s="256"/>
      <c r="D120" s="256"/>
      <c r="E120" s="256"/>
      <c r="F120" s="256"/>
      <c r="G120" s="270"/>
    </row>
    <row r="121" spans="1:7" x14ac:dyDescent="0.35">
      <c r="A121" s="268"/>
      <c r="B121" s="270"/>
      <c r="C121" s="256"/>
      <c r="D121" s="256"/>
      <c r="E121" s="256"/>
      <c r="F121" s="256"/>
      <c r="G121" s="270"/>
    </row>
    <row r="122" spans="1:7" x14ac:dyDescent="0.35">
      <c r="A122" s="268"/>
      <c r="B122" s="270"/>
      <c r="C122" s="256"/>
      <c r="D122" s="256"/>
      <c r="E122" s="256"/>
      <c r="F122" s="256"/>
      <c r="G122" s="270"/>
    </row>
    <row r="123" spans="1:7" x14ac:dyDescent="0.35">
      <c r="A123" s="268"/>
      <c r="B123" s="270"/>
      <c r="C123" s="256"/>
      <c r="D123" s="256"/>
      <c r="E123" s="256"/>
      <c r="F123" s="256"/>
      <c r="G123" s="270"/>
    </row>
    <row r="124" spans="1:7" x14ac:dyDescent="0.35">
      <c r="A124" s="268"/>
      <c r="B124" s="270"/>
      <c r="C124" s="256"/>
      <c r="D124" s="256"/>
      <c r="E124" s="256"/>
      <c r="F124" s="256"/>
      <c r="G124" s="270"/>
    </row>
    <row r="125" spans="1:7" x14ac:dyDescent="0.35">
      <c r="A125" s="268"/>
      <c r="B125" s="270"/>
      <c r="C125" s="256"/>
      <c r="D125" s="256"/>
      <c r="E125" s="256"/>
      <c r="F125" s="256"/>
      <c r="G125" s="270"/>
    </row>
    <row r="126" spans="1:7" x14ac:dyDescent="0.35">
      <c r="A126" s="268"/>
      <c r="B126" s="270"/>
      <c r="C126" s="256"/>
      <c r="D126" s="256"/>
      <c r="E126" s="256"/>
      <c r="F126" s="256"/>
      <c r="G126" s="270"/>
    </row>
    <row r="127" spans="1:7" x14ac:dyDescent="0.35">
      <c r="A127" s="268"/>
      <c r="B127" s="270"/>
      <c r="C127" s="256"/>
      <c r="D127" s="256"/>
      <c r="E127" s="256"/>
      <c r="F127" s="256"/>
      <c r="G127" s="270"/>
    </row>
    <row r="128" spans="1:7" x14ac:dyDescent="0.35">
      <c r="A128" s="268"/>
      <c r="B128" s="270"/>
      <c r="C128" s="256"/>
      <c r="D128" s="256"/>
      <c r="E128" s="256"/>
      <c r="F128" s="256"/>
      <c r="G128" s="270"/>
    </row>
    <row r="129" spans="1:7" x14ac:dyDescent="0.35">
      <c r="A129" s="268"/>
      <c r="B129" s="270"/>
      <c r="C129" s="256"/>
      <c r="D129" s="256"/>
      <c r="E129" s="256"/>
      <c r="F129" s="256"/>
      <c r="G129" s="270"/>
    </row>
    <row r="130" spans="1:7" x14ac:dyDescent="0.35">
      <c r="A130" s="268"/>
      <c r="B130" s="270"/>
      <c r="C130" s="256"/>
      <c r="D130" s="256"/>
      <c r="E130" s="256"/>
      <c r="F130" s="256"/>
      <c r="G130" s="270"/>
    </row>
    <row r="131" spans="1:7" x14ac:dyDescent="0.35">
      <c r="A131" s="268"/>
      <c r="B131" s="270"/>
      <c r="C131" s="256"/>
      <c r="D131" s="256"/>
      <c r="E131" s="256"/>
      <c r="F131" s="256"/>
      <c r="G131" s="270"/>
    </row>
    <row r="132" spans="1:7" x14ac:dyDescent="0.35">
      <c r="A132" s="268"/>
      <c r="B132" s="270"/>
      <c r="C132" s="256"/>
      <c r="D132" s="256"/>
      <c r="E132" s="256"/>
      <c r="F132" s="256"/>
      <c r="G132" s="270"/>
    </row>
    <row r="133" spans="1:7" x14ac:dyDescent="0.35">
      <c r="A133" s="268"/>
      <c r="B133" s="270"/>
      <c r="C133" s="256"/>
      <c r="D133" s="256"/>
      <c r="E133" s="256"/>
      <c r="F133" s="256"/>
      <c r="G133" s="270"/>
    </row>
    <row r="134" spans="1:7" x14ac:dyDescent="0.35">
      <c r="A134" s="268"/>
      <c r="B134" s="270"/>
      <c r="C134" s="256"/>
      <c r="D134" s="256"/>
      <c r="E134" s="256"/>
      <c r="F134" s="256"/>
      <c r="G134" s="270"/>
    </row>
    <row r="135" spans="1:7" x14ac:dyDescent="0.35">
      <c r="A135" s="268"/>
      <c r="B135" s="270"/>
      <c r="C135" s="256"/>
      <c r="D135" s="256"/>
      <c r="E135" s="256"/>
      <c r="F135" s="256"/>
      <c r="G135" s="270"/>
    </row>
    <row r="136" spans="1:7" x14ac:dyDescent="0.35">
      <c r="A136" s="268"/>
      <c r="B136" s="270"/>
      <c r="C136" s="256"/>
      <c r="D136" s="256"/>
      <c r="E136" s="256"/>
      <c r="F136" s="256"/>
      <c r="G136" s="270"/>
    </row>
    <row r="137" spans="1:7" x14ac:dyDescent="0.35">
      <c r="A137" s="268"/>
      <c r="B137" s="270"/>
      <c r="C137" s="256"/>
      <c r="D137" s="256"/>
      <c r="E137" s="256"/>
      <c r="F137" s="256"/>
      <c r="G137" s="270"/>
    </row>
    <row r="138" spans="1:7" x14ac:dyDescent="0.35">
      <c r="A138" s="268"/>
      <c r="B138" s="270"/>
      <c r="C138" s="256"/>
      <c r="D138" s="256"/>
      <c r="E138" s="256"/>
      <c r="F138" s="256"/>
      <c r="G138" s="270"/>
    </row>
    <row r="139" spans="1:7" x14ac:dyDescent="0.35">
      <c r="A139" s="268"/>
      <c r="B139" s="270"/>
      <c r="C139" s="256"/>
      <c r="D139" s="256"/>
      <c r="E139" s="256"/>
      <c r="F139" s="256"/>
      <c r="G139" s="270"/>
    </row>
    <row r="140" spans="1:7" x14ac:dyDescent="0.35">
      <c r="A140" s="291"/>
      <c r="B140" s="291"/>
      <c r="C140" s="291"/>
      <c r="D140" s="291"/>
      <c r="E140" s="291"/>
      <c r="F140" s="291"/>
      <c r="G140" s="291"/>
    </row>
    <row r="141" spans="1:7" x14ac:dyDescent="0.35">
      <c r="A141" s="268"/>
      <c r="B141" s="268"/>
      <c r="C141" s="256"/>
      <c r="D141" s="256"/>
      <c r="E141" s="304"/>
      <c r="F141" s="256"/>
      <c r="G141" s="270"/>
    </row>
    <row r="142" spans="1:7" x14ac:dyDescent="0.35">
      <c r="A142" s="268"/>
      <c r="B142" s="268"/>
      <c r="C142" s="256"/>
      <c r="D142" s="256"/>
      <c r="E142" s="304"/>
      <c r="F142" s="256"/>
      <c r="G142" s="270"/>
    </row>
    <row r="143" spans="1:7" x14ac:dyDescent="0.35">
      <c r="A143" s="268"/>
      <c r="B143" s="268"/>
      <c r="C143" s="256"/>
      <c r="D143" s="256"/>
      <c r="E143" s="304"/>
      <c r="F143" s="256"/>
      <c r="G143" s="270"/>
    </row>
    <row r="144" spans="1:7" x14ac:dyDescent="0.35">
      <c r="A144" s="268"/>
      <c r="B144" s="268"/>
      <c r="C144" s="256"/>
      <c r="D144" s="256"/>
      <c r="E144" s="304"/>
      <c r="F144" s="256"/>
      <c r="G144" s="270"/>
    </row>
    <row r="145" spans="1:7" x14ac:dyDescent="0.35">
      <c r="A145" s="268"/>
      <c r="B145" s="268"/>
      <c r="C145" s="256"/>
      <c r="D145" s="256"/>
      <c r="E145" s="304"/>
      <c r="F145" s="256"/>
      <c r="G145" s="270"/>
    </row>
    <row r="146" spans="1:7" x14ac:dyDescent="0.35">
      <c r="A146" s="268"/>
      <c r="B146" s="268"/>
      <c r="C146" s="256"/>
      <c r="D146" s="256"/>
      <c r="E146" s="304"/>
      <c r="F146" s="256"/>
      <c r="G146" s="270"/>
    </row>
    <row r="147" spans="1:7" x14ac:dyDescent="0.35">
      <c r="A147" s="268"/>
      <c r="B147" s="268"/>
      <c r="C147" s="256"/>
      <c r="D147" s="256"/>
      <c r="E147" s="304"/>
      <c r="F147" s="256"/>
      <c r="G147" s="270"/>
    </row>
    <row r="148" spans="1:7" x14ac:dyDescent="0.35">
      <c r="A148" s="268"/>
      <c r="B148" s="268"/>
      <c r="C148" s="256"/>
      <c r="D148" s="256"/>
      <c r="E148" s="304"/>
      <c r="F148" s="256"/>
      <c r="G148" s="270"/>
    </row>
    <row r="149" spans="1:7" x14ac:dyDescent="0.35">
      <c r="A149" s="268"/>
      <c r="B149" s="268"/>
      <c r="C149" s="256"/>
      <c r="D149" s="256"/>
      <c r="E149" s="304"/>
      <c r="F149" s="256"/>
      <c r="G149" s="270"/>
    </row>
    <row r="150" spans="1:7" x14ac:dyDescent="0.35">
      <c r="A150" s="291"/>
      <c r="B150" s="291"/>
      <c r="C150" s="291"/>
      <c r="D150" s="291"/>
      <c r="E150" s="291"/>
      <c r="F150" s="291"/>
      <c r="G150" s="291"/>
    </row>
    <row r="151" spans="1:7" x14ac:dyDescent="0.35">
      <c r="A151" s="268"/>
      <c r="B151" s="268"/>
      <c r="C151" s="256"/>
      <c r="D151" s="256"/>
      <c r="E151" s="304"/>
      <c r="F151" s="256"/>
      <c r="G151" s="270"/>
    </row>
    <row r="152" spans="1:7" x14ac:dyDescent="0.35">
      <c r="A152" s="268"/>
      <c r="B152" s="268"/>
      <c r="C152" s="256"/>
      <c r="D152" s="256"/>
      <c r="E152" s="304"/>
      <c r="F152" s="256"/>
      <c r="G152" s="270"/>
    </row>
    <row r="153" spans="1:7" x14ac:dyDescent="0.35">
      <c r="A153" s="268"/>
      <c r="B153" s="268"/>
      <c r="C153" s="256"/>
      <c r="D153" s="256"/>
      <c r="E153" s="304"/>
      <c r="F153" s="256"/>
      <c r="G153" s="270"/>
    </row>
    <row r="154" spans="1:7" x14ac:dyDescent="0.35">
      <c r="A154" s="268"/>
      <c r="B154" s="268"/>
      <c r="C154" s="268"/>
      <c r="D154" s="268"/>
      <c r="E154" s="267"/>
      <c r="F154" s="268"/>
      <c r="G154" s="270"/>
    </row>
    <row r="155" spans="1:7" x14ac:dyDescent="0.35">
      <c r="A155" s="268"/>
      <c r="B155" s="268"/>
      <c r="C155" s="268"/>
      <c r="D155" s="268"/>
      <c r="E155" s="267"/>
      <c r="F155" s="268"/>
      <c r="G155" s="270"/>
    </row>
    <row r="156" spans="1:7" x14ac:dyDescent="0.35">
      <c r="A156" s="268"/>
      <c r="B156" s="268"/>
      <c r="C156" s="268"/>
      <c r="D156" s="268"/>
      <c r="E156" s="267"/>
      <c r="F156" s="268"/>
      <c r="G156" s="270"/>
    </row>
    <row r="157" spans="1:7" x14ac:dyDescent="0.35">
      <c r="A157" s="268"/>
      <c r="B157" s="268"/>
      <c r="C157" s="268"/>
      <c r="D157" s="268"/>
      <c r="E157" s="267"/>
      <c r="F157" s="268"/>
      <c r="G157" s="270"/>
    </row>
    <row r="158" spans="1:7" x14ac:dyDescent="0.35">
      <c r="A158" s="268"/>
      <c r="B158" s="268"/>
      <c r="C158" s="268"/>
      <c r="D158" s="268"/>
      <c r="E158" s="267"/>
      <c r="F158" s="268"/>
      <c r="G158" s="270"/>
    </row>
    <row r="159" spans="1:7" x14ac:dyDescent="0.35">
      <c r="A159" s="268"/>
      <c r="B159" s="268"/>
      <c r="C159" s="268"/>
      <c r="D159" s="268"/>
      <c r="E159" s="267"/>
      <c r="F159" s="268"/>
      <c r="G159" s="270"/>
    </row>
    <row r="160" spans="1:7" x14ac:dyDescent="0.35">
      <c r="A160" s="291"/>
      <c r="B160" s="291"/>
      <c r="C160" s="291"/>
      <c r="D160" s="291"/>
      <c r="E160" s="291"/>
      <c r="F160" s="291"/>
      <c r="G160" s="291"/>
    </row>
    <row r="161" spans="1:7" x14ac:dyDescent="0.35">
      <c r="A161" s="268"/>
      <c r="B161" s="305"/>
      <c r="C161" s="256"/>
      <c r="D161" s="256"/>
      <c r="E161" s="304"/>
      <c r="F161" s="256"/>
      <c r="G161" s="270"/>
    </row>
    <row r="162" spans="1:7" x14ac:dyDescent="0.35">
      <c r="A162" s="268"/>
      <c r="B162" s="305"/>
      <c r="C162" s="256"/>
      <c r="D162" s="256"/>
      <c r="E162" s="304"/>
      <c r="F162" s="256"/>
      <c r="G162" s="270"/>
    </row>
    <row r="163" spans="1:7" x14ac:dyDescent="0.35">
      <c r="A163" s="268"/>
      <c r="B163" s="305"/>
      <c r="C163" s="256"/>
      <c r="D163" s="256"/>
      <c r="E163" s="256"/>
      <c r="F163" s="256"/>
      <c r="G163" s="270"/>
    </row>
    <row r="164" spans="1:7" x14ac:dyDescent="0.35">
      <c r="A164" s="268"/>
      <c r="B164" s="305"/>
      <c r="C164" s="256"/>
      <c r="D164" s="256"/>
      <c r="E164" s="256"/>
      <c r="F164" s="256"/>
      <c r="G164" s="270"/>
    </row>
    <row r="165" spans="1:7" x14ac:dyDescent="0.35">
      <c r="A165" s="268"/>
      <c r="B165" s="305"/>
      <c r="C165" s="256"/>
      <c r="D165" s="256"/>
      <c r="E165" s="256"/>
      <c r="F165" s="256"/>
      <c r="G165" s="270"/>
    </row>
    <row r="166" spans="1:7" x14ac:dyDescent="0.35">
      <c r="A166" s="268"/>
      <c r="B166" s="293"/>
      <c r="C166" s="256"/>
      <c r="D166" s="256"/>
      <c r="E166" s="256"/>
      <c r="F166" s="256"/>
      <c r="G166" s="270"/>
    </row>
    <row r="167" spans="1:7" x14ac:dyDescent="0.35">
      <c r="A167" s="268"/>
      <c r="B167" s="293"/>
      <c r="C167" s="256"/>
      <c r="D167" s="256"/>
      <c r="E167" s="256"/>
      <c r="F167" s="256"/>
      <c r="G167" s="270"/>
    </row>
    <row r="168" spans="1:7" x14ac:dyDescent="0.35">
      <c r="A168" s="268"/>
      <c r="B168" s="305"/>
      <c r="C168" s="256"/>
      <c r="D168" s="256"/>
      <c r="E168" s="256"/>
      <c r="F168" s="256"/>
      <c r="G168" s="270"/>
    </row>
    <row r="169" spans="1:7" x14ac:dyDescent="0.35">
      <c r="A169" s="268"/>
      <c r="B169" s="305"/>
      <c r="C169" s="256"/>
      <c r="D169" s="256"/>
      <c r="E169" s="256"/>
      <c r="F169" s="256"/>
      <c r="G169" s="270"/>
    </row>
    <row r="170" spans="1:7" x14ac:dyDescent="0.35">
      <c r="A170" s="291"/>
      <c r="B170" s="291"/>
      <c r="C170" s="291"/>
      <c r="D170" s="291"/>
      <c r="E170" s="291"/>
      <c r="F170" s="291"/>
      <c r="G170" s="291"/>
    </row>
    <row r="171" spans="1:7" x14ac:dyDescent="0.35">
      <c r="A171" s="268"/>
      <c r="B171" s="268"/>
      <c r="C171" s="256"/>
      <c r="D171" s="256"/>
      <c r="E171" s="304"/>
      <c r="F171" s="256"/>
      <c r="G171" s="270"/>
    </row>
    <row r="172" spans="1:7" x14ac:dyDescent="0.35">
      <c r="A172" s="268"/>
      <c r="B172" s="306"/>
      <c r="C172" s="256"/>
      <c r="D172" s="256"/>
      <c r="E172" s="304"/>
      <c r="F172" s="256"/>
      <c r="G172" s="270"/>
    </row>
    <row r="173" spans="1:7" x14ac:dyDescent="0.35">
      <c r="A173" s="268"/>
      <c r="B173" s="306"/>
      <c r="C173" s="256"/>
      <c r="D173" s="256"/>
      <c r="E173" s="304"/>
      <c r="F173" s="256"/>
      <c r="G173" s="270"/>
    </row>
    <row r="174" spans="1:7" x14ac:dyDescent="0.35">
      <c r="A174" s="268"/>
      <c r="B174" s="306"/>
      <c r="C174" s="256"/>
      <c r="D174" s="256"/>
      <c r="E174" s="304"/>
      <c r="F174" s="256"/>
      <c r="G174" s="270"/>
    </row>
    <row r="175" spans="1:7" x14ac:dyDescent="0.35">
      <c r="A175" s="268"/>
      <c r="B175" s="306"/>
      <c r="C175" s="256"/>
      <c r="D175" s="256"/>
      <c r="E175" s="304"/>
      <c r="F175" s="256"/>
      <c r="G175" s="270"/>
    </row>
    <row r="176" spans="1:7" x14ac:dyDescent="0.35">
      <c r="A176" s="268"/>
      <c r="B176" s="270"/>
      <c r="C176" s="270"/>
      <c r="D176" s="270"/>
      <c r="E176" s="270"/>
      <c r="F176" s="270"/>
      <c r="G176" s="270"/>
    </row>
    <row r="177" spans="1:7" x14ac:dyDescent="0.35">
      <c r="A177" s="268"/>
      <c r="B177" s="270"/>
      <c r="C177" s="270"/>
      <c r="D177" s="270"/>
      <c r="E177" s="270"/>
      <c r="F177" s="270"/>
      <c r="G177" s="270"/>
    </row>
    <row r="178" spans="1:7" x14ac:dyDescent="0.35">
      <c r="A178" s="268"/>
      <c r="B178" s="270"/>
      <c r="C178" s="270"/>
      <c r="D178" s="270"/>
      <c r="E178" s="270"/>
      <c r="F178" s="270"/>
      <c r="G178" s="270"/>
    </row>
    <row r="179" spans="1:7" ht="18.5" x14ac:dyDescent="0.35">
      <c r="A179" s="307"/>
      <c r="B179" s="308"/>
      <c r="C179" s="309"/>
      <c r="D179" s="309"/>
      <c r="E179" s="309"/>
      <c r="F179" s="309"/>
      <c r="G179" s="309"/>
    </row>
    <row r="180" spans="1:7" x14ac:dyDescent="0.35">
      <c r="A180" s="291"/>
      <c r="B180" s="291"/>
      <c r="C180" s="291"/>
      <c r="D180" s="291"/>
      <c r="E180" s="291"/>
      <c r="F180" s="291"/>
      <c r="G180" s="291"/>
    </row>
    <row r="181" spans="1:7" x14ac:dyDescent="0.35">
      <c r="A181" s="268"/>
      <c r="B181" s="270"/>
      <c r="C181" s="301"/>
      <c r="D181" s="268"/>
      <c r="E181" s="269"/>
      <c r="F181" s="277"/>
      <c r="G181" s="277"/>
    </row>
    <row r="182" spans="1:7" x14ac:dyDescent="0.35">
      <c r="A182" s="269"/>
      <c r="B182" s="310"/>
      <c r="C182" s="269"/>
      <c r="D182" s="269"/>
      <c r="E182" s="269"/>
      <c r="F182" s="277"/>
      <c r="G182" s="277"/>
    </row>
    <row r="183" spans="1:7" x14ac:dyDescent="0.35">
      <c r="A183" s="268"/>
      <c r="B183" s="270"/>
      <c r="C183" s="269"/>
      <c r="D183" s="269"/>
      <c r="E183" s="269"/>
      <c r="F183" s="277"/>
      <c r="G183" s="277"/>
    </row>
    <row r="184" spans="1:7" x14ac:dyDescent="0.35">
      <c r="A184" s="268"/>
      <c r="B184" s="270"/>
      <c r="C184" s="301"/>
      <c r="D184" s="311"/>
      <c r="E184" s="269"/>
      <c r="F184" s="257"/>
      <c r="G184" s="257"/>
    </row>
    <row r="185" spans="1:7" x14ac:dyDescent="0.35">
      <c r="A185" s="268"/>
      <c r="B185" s="270"/>
      <c r="C185" s="301"/>
      <c r="D185" s="311"/>
      <c r="E185" s="269"/>
      <c r="F185" s="257"/>
      <c r="G185" s="257"/>
    </row>
    <row r="186" spans="1:7" x14ac:dyDescent="0.35">
      <c r="A186" s="268"/>
      <c r="B186" s="270"/>
      <c r="C186" s="301"/>
      <c r="D186" s="311"/>
      <c r="E186" s="269"/>
      <c r="F186" s="257"/>
      <c r="G186" s="257"/>
    </row>
    <row r="187" spans="1:7" x14ac:dyDescent="0.35">
      <c r="A187" s="268"/>
      <c r="B187" s="270"/>
      <c r="C187" s="301"/>
      <c r="D187" s="311"/>
      <c r="E187" s="269"/>
      <c r="F187" s="257"/>
      <c r="G187" s="257"/>
    </row>
    <row r="188" spans="1:7" x14ac:dyDescent="0.35">
      <c r="A188" s="268"/>
      <c r="B188" s="270"/>
      <c r="C188" s="301"/>
      <c r="D188" s="311"/>
      <c r="E188" s="269"/>
      <c r="F188" s="257"/>
      <c r="G188" s="257"/>
    </row>
    <row r="189" spans="1:7" x14ac:dyDescent="0.35">
      <c r="A189" s="268"/>
      <c r="B189" s="270"/>
      <c r="C189" s="301"/>
      <c r="D189" s="311"/>
      <c r="E189" s="269"/>
      <c r="F189" s="257"/>
      <c r="G189" s="257"/>
    </row>
    <row r="190" spans="1:7" x14ac:dyDescent="0.35">
      <c r="A190" s="268"/>
      <c r="B190" s="270"/>
      <c r="C190" s="301"/>
      <c r="D190" s="311"/>
      <c r="E190" s="269"/>
      <c r="F190" s="257"/>
      <c r="G190" s="257"/>
    </row>
    <row r="191" spans="1:7" x14ac:dyDescent="0.35">
      <c r="A191" s="268"/>
      <c r="B191" s="270"/>
      <c r="C191" s="301"/>
      <c r="D191" s="311"/>
      <c r="E191" s="269"/>
      <c r="F191" s="257"/>
      <c r="G191" s="257"/>
    </row>
    <row r="192" spans="1:7" x14ac:dyDescent="0.35">
      <c r="A192" s="268"/>
      <c r="B192" s="270"/>
      <c r="C192" s="301"/>
      <c r="D192" s="311"/>
      <c r="E192" s="269"/>
      <c r="F192" s="257"/>
      <c r="G192" s="257"/>
    </row>
    <row r="193" spans="1:7" x14ac:dyDescent="0.35">
      <c r="A193" s="268"/>
      <c r="B193" s="270"/>
      <c r="C193" s="301"/>
      <c r="D193" s="311"/>
      <c r="E193" s="270"/>
      <c r="F193" s="257"/>
      <c r="G193" s="257"/>
    </row>
    <row r="194" spans="1:7" x14ac:dyDescent="0.35">
      <c r="A194" s="268"/>
      <c r="B194" s="270"/>
      <c r="C194" s="301"/>
      <c r="D194" s="311"/>
      <c r="E194" s="270"/>
      <c r="F194" s="257"/>
      <c r="G194" s="257"/>
    </row>
    <row r="195" spans="1:7" x14ac:dyDescent="0.35">
      <c r="A195" s="268"/>
      <c r="B195" s="270"/>
      <c r="C195" s="301"/>
      <c r="D195" s="311"/>
      <c r="E195" s="270"/>
      <c r="F195" s="257"/>
      <c r="G195" s="257"/>
    </row>
    <row r="196" spans="1:7" x14ac:dyDescent="0.35">
      <c r="A196" s="268"/>
      <c r="B196" s="270"/>
      <c r="C196" s="301"/>
      <c r="D196" s="311"/>
      <c r="E196" s="270"/>
      <c r="F196" s="257"/>
      <c r="G196" s="257"/>
    </row>
    <row r="197" spans="1:7" x14ac:dyDescent="0.35">
      <c r="A197" s="268"/>
      <c r="B197" s="270"/>
      <c r="C197" s="301"/>
      <c r="D197" s="311"/>
      <c r="E197" s="270"/>
      <c r="F197" s="257"/>
      <c r="G197" s="257"/>
    </row>
    <row r="198" spans="1:7" x14ac:dyDescent="0.35">
      <c r="A198" s="268"/>
      <c r="B198" s="270"/>
      <c r="C198" s="301"/>
      <c r="D198" s="311"/>
      <c r="E198" s="270"/>
      <c r="F198" s="257"/>
      <c r="G198" s="257"/>
    </row>
    <row r="199" spans="1:7" x14ac:dyDescent="0.35">
      <c r="A199" s="268"/>
      <c r="B199" s="270"/>
      <c r="C199" s="301"/>
      <c r="D199" s="311"/>
      <c r="E199" s="268"/>
      <c r="F199" s="257"/>
      <c r="G199" s="257"/>
    </row>
    <row r="200" spans="1:7" x14ac:dyDescent="0.35">
      <c r="A200" s="268"/>
      <c r="B200" s="270"/>
      <c r="C200" s="301"/>
      <c r="D200" s="311"/>
      <c r="E200" s="312"/>
      <c r="F200" s="257"/>
      <c r="G200" s="257"/>
    </row>
    <row r="201" spans="1:7" x14ac:dyDescent="0.35">
      <c r="A201" s="268"/>
      <c r="B201" s="270"/>
      <c r="C201" s="301"/>
      <c r="D201" s="311"/>
      <c r="E201" s="312"/>
      <c r="F201" s="257"/>
      <c r="G201" s="257"/>
    </row>
    <row r="202" spans="1:7" x14ac:dyDescent="0.35">
      <c r="A202" s="268"/>
      <c r="B202" s="270"/>
      <c r="C202" s="301"/>
      <c r="D202" s="311"/>
      <c r="E202" s="312"/>
      <c r="F202" s="257"/>
      <c r="G202" s="257"/>
    </row>
    <row r="203" spans="1:7" x14ac:dyDescent="0.35">
      <c r="A203" s="268"/>
      <c r="B203" s="270"/>
      <c r="C203" s="301"/>
      <c r="D203" s="311"/>
      <c r="E203" s="312"/>
      <c r="F203" s="257"/>
      <c r="G203" s="257"/>
    </row>
    <row r="204" spans="1:7" x14ac:dyDescent="0.35">
      <c r="A204" s="268"/>
      <c r="B204" s="270"/>
      <c r="C204" s="301"/>
      <c r="D204" s="311"/>
      <c r="E204" s="312"/>
      <c r="F204" s="257"/>
      <c r="G204" s="257"/>
    </row>
    <row r="205" spans="1:7" x14ac:dyDescent="0.35">
      <c r="A205" s="268"/>
      <c r="B205" s="270"/>
      <c r="C205" s="301"/>
      <c r="D205" s="311"/>
      <c r="E205" s="312"/>
      <c r="F205" s="257"/>
      <c r="G205" s="257"/>
    </row>
    <row r="206" spans="1:7" x14ac:dyDescent="0.35">
      <c r="A206" s="268"/>
      <c r="B206" s="270"/>
      <c r="C206" s="301"/>
      <c r="D206" s="311"/>
      <c r="E206" s="312"/>
      <c r="F206" s="257"/>
      <c r="G206" s="257"/>
    </row>
    <row r="207" spans="1:7" x14ac:dyDescent="0.35">
      <c r="A207" s="268"/>
      <c r="B207" s="270"/>
      <c r="C207" s="301"/>
      <c r="D207" s="311"/>
      <c r="E207" s="312"/>
      <c r="F207" s="257"/>
      <c r="G207" s="257"/>
    </row>
    <row r="208" spans="1:7" x14ac:dyDescent="0.35">
      <c r="A208" s="268"/>
      <c r="B208" s="313"/>
      <c r="C208" s="314"/>
      <c r="D208" s="315"/>
      <c r="E208" s="312"/>
      <c r="F208" s="316"/>
      <c r="G208" s="316"/>
    </row>
    <row r="209" spans="1:7" x14ac:dyDescent="0.35">
      <c r="A209" s="291"/>
      <c r="B209" s="291"/>
      <c r="C209" s="291"/>
      <c r="D209" s="291"/>
      <c r="E209" s="291"/>
      <c r="F209" s="291"/>
      <c r="G209" s="291"/>
    </row>
    <row r="210" spans="1:7" x14ac:dyDescent="0.35">
      <c r="A210" s="268"/>
      <c r="B210" s="268"/>
      <c r="C210" s="256"/>
      <c r="D210" s="268"/>
      <c r="E210" s="268"/>
      <c r="F210" s="296"/>
      <c r="G210" s="296"/>
    </row>
    <row r="211" spans="1:7" x14ac:dyDescent="0.35">
      <c r="A211" s="268"/>
      <c r="B211" s="268"/>
      <c r="C211" s="268"/>
      <c r="D211" s="268"/>
      <c r="E211" s="268"/>
      <c r="F211" s="296"/>
      <c r="G211" s="296"/>
    </row>
    <row r="212" spans="1:7" x14ac:dyDescent="0.35">
      <c r="A212" s="268"/>
      <c r="B212" s="270"/>
      <c r="C212" s="268"/>
      <c r="D212" s="268"/>
      <c r="E212" s="268"/>
      <c r="F212" s="296"/>
      <c r="G212" s="296"/>
    </row>
    <row r="213" spans="1:7" x14ac:dyDescent="0.35">
      <c r="A213" s="268"/>
      <c r="B213" s="268"/>
      <c r="C213" s="301"/>
      <c r="D213" s="311"/>
      <c r="E213" s="268"/>
      <c r="F213" s="257"/>
      <c r="G213" s="257"/>
    </row>
    <row r="214" spans="1:7" x14ac:dyDescent="0.35">
      <c r="A214" s="268"/>
      <c r="B214" s="268"/>
      <c r="C214" s="301"/>
      <c r="D214" s="311"/>
      <c r="E214" s="268"/>
      <c r="F214" s="257"/>
      <c r="G214" s="257"/>
    </row>
    <row r="215" spans="1:7" x14ac:dyDescent="0.35">
      <c r="A215" s="268"/>
      <c r="B215" s="268"/>
      <c r="C215" s="301"/>
      <c r="D215" s="311"/>
      <c r="E215" s="268"/>
      <c r="F215" s="257"/>
      <c r="G215" s="257"/>
    </row>
    <row r="216" spans="1:7" x14ac:dyDescent="0.35">
      <c r="A216" s="268"/>
      <c r="B216" s="268"/>
      <c r="C216" s="301"/>
      <c r="D216" s="311"/>
      <c r="E216" s="268"/>
      <c r="F216" s="257"/>
      <c r="G216" s="257"/>
    </row>
    <row r="217" spans="1:7" x14ac:dyDescent="0.35">
      <c r="A217" s="268"/>
      <c r="B217" s="268"/>
      <c r="C217" s="301"/>
      <c r="D217" s="311"/>
      <c r="E217" s="268"/>
      <c r="F217" s="257"/>
      <c r="G217" s="257"/>
    </row>
    <row r="218" spans="1:7" x14ac:dyDescent="0.35">
      <c r="A218" s="268"/>
      <c r="B218" s="268"/>
      <c r="C218" s="301"/>
      <c r="D218" s="311"/>
      <c r="E218" s="268"/>
      <c r="F218" s="257"/>
      <c r="G218" s="257"/>
    </row>
    <row r="219" spans="1:7" x14ac:dyDescent="0.35">
      <c r="A219" s="268"/>
      <c r="B219" s="268"/>
      <c r="C219" s="301"/>
      <c r="D219" s="311"/>
      <c r="E219" s="268"/>
      <c r="F219" s="257"/>
      <c r="G219" s="257"/>
    </row>
    <row r="220" spans="1:7" x14ac:dyDescent="0.35">
      <c r="A220" s="268"/>
      <c r="B220" s="268"/>
      <c r="C220" s="301"/>
      <c r="D220" s="311"/>
      <c r="E220" s="268"/>
      <c r="F220" s="257"/>
      <c r="G220" s="257"/>
    </row>
    <row r="221" spans="1:7" x14ac:dyDescent="0.35">
      <c r="A221" s="268"/>
      <c r="B221" s="313"/>
      <c r="C221" s="301"/>
      <c r="D221" s="311"/>
      <c r="E221" s="268"/>
      <c r="F221" s="257"/>
      <c r="G221" s="257"/>
    </row>
    <row r="222" spans="1:7" x14ac:dyDescent="0.35">
      <c r="A222" s="268"/>
      <c r="B222" s="297"/>
      <c r="C222" s="301"/>
      <c r="D222" s="311"/>
      <c r="E222" s="268"/>
      <c r="F222" s="257"/>
      <c r="G222" s="257"/>
    </row>
    <row r="223" spans="1:7" x14ac:dyDescent="0.35">
      <c r="A223" s="268"/>
      <c r="B223" s="297"/>
      <c r="C223" s="301"/>
      <c r="D223" s="311"/>
      <c r="E223" s="268"/>
      <c r="F223" s="257"/>
      <c r="G223" s="257"/>
    </row>
    <row r="224" spans="1:7" x14ac:dyDescent="0.35">
      <c r="A224" s="268"/>
      <c r="B224" s="297"/>
      <c r="C224" s="301"/>
      <c r="D224" s="311"/>
      <c r="E224" s="268"/>
      <c r="F224" s="257"/>
      <c r="G224" s="257"/>
    </row>
    <row r="225" spans="1:7" x14ac:dyDescent="0.35">
      <c r="A225" s="268"/>
      <c r="B225" s="297"/>
      <c r="C225" s="301"/>
      <c r="D225" s="311"/>
      <c r="E225" s="268"/>
      <c r="F225" s="257"/>
      <c r="G225" s="257"/>
    </row>
    <row r="226" spans="1:7" x14ac:dyDescent="0.35">
      <c r="A226" s="268"/>
      <c r="B226" s="297"/>
      <c r="C226" s="301"/>
      <c r="D226" s="311"/>
      <c r="E226" s="268"/>
      <c r="F226" s="257"/>
      <c r="G226" s="257"/>
    </row>
    <row r="227" spans="1:7" x14ac:dyDescent="0.35">
      <c r="A227" s="268"/>
      <c r="B227" s="297"/>
      <c r="C227" s="301"/>
      <c r="D227" s="311"/>
      <c r="E227" s="268"/>
      <c r="F227" s="257"/>
      <c r="G227" s="257"/>
    </row>
    <row r="228" spans="1:7" x14ac:dyDescent="0.35">
      <c r="A228" s="268"/>
      <c r="B228" s="297"/>
      <c r="C228" s="268"/>
      <c r="D228" s="268"/>
      <c r="E228" s="268"/>
      <c r="F228" s="257"/>
      <c r="G228" s="257"/>
    </row>
    <row r="229" spans="1:7" x14ac:dyDescent="0.35">
      <c r="A229" s="268"/>
      <c r="B229" s="297"/>
      <c r="C229" s="268"/>
      <c r="D229" s="268"/>
      <c r="E229" s="268"/>
      <c r="F229" s="257"/>
      <c r="G229" s="257"/>
    </row>
    <row r="230" spans="1:7" x14ac:dyDescent="0.35">
      <c r="A230" s="268"/>
      <c r="B230" s="297"/>
      <c r="C230" s="268"/>
      <c r="D230" s="268"/>
      <c r="E230" s="268"/>
      <c r="F230" s="257"/>
      <c r="G230" s="257"/>
    </row>
    <row r="231" spans="1:7" x14ac:dyDescent="0.35">
      <c r="A231" s="291"/>
      <c r="B231" s="291"/>
      <c r="C231" s="291"/>
      <c r="D231" s="291"/>
      <c r="E231" s="291"/>
      <c r="F231" s="291"/>
      <c r="G231" s="291"/>
    </row>
    <row r="232" spans="1:7" x14ac:dyDescent="0.35">
      <c r="A232" s="268"/>
      <c r="B232" s="268"/>
      <c r="C232" s="256"/>
      <c r="D232" s="268"/>
      <c r="E232" s="268"/>
      <c r="F232" s="296"/>
      <c r="G232" s="296"/>
    </row>
    <row r="233" spans="1:7" x14ac:dyDescent="0.35">
      <c r="A233" s="268"/>
      <c r="B233" s="268"/>
      <c r="C233" s="268"/>
      <c r="D233" s="268"/>
      <c r="E233" s="268"/>
      <c r="F233" s="296"/>
      <c r="G233" s="296"/>
    </row>
    <row r="234" spans="1:7" x14ac:dyDescent="0.35">
      <c r="A234" s="268"/>
      <c r="B234" s="270"/>
      <c r="C234" s="268"/>
      <c r="D234" s="268"/>
      <c r="E234" s="268"/>
      <c r="F234" s="296"/>
      <c r="G234" s="296"/>
    </row>
    <row r="235" spans="1:7" x14ac:dyDescent="0.35">
      <c r="A235" s="268"/>
      <c r="B235" s="268"/>
      <c r="C235" s="301"/>
      <c r="D235" s="311"/>
      <c r="E235" s="268"/>
      <c r="F235" s="257"/>
      <c r="G235" s="257"/>
    </row>
    <row r="236" spans="1:7" x14ac:dyDescent="0.35">
      <c r="A236" s="268"/>
      <c r="B236" s="268"/>
      <c r="C236" s="301"/>
      <c r="D236" s="311"/>
      <c r="E236" s="268"/>
      <c r="F236" s="257"/>
      <c r="G236" s="257"/>
    </row>
    <row r="237" spans="1:7" x14ac:dyDescent="0.35">
      <c r="A237" s="268"/>
      <c r="B237" s="268"/>
      <c r="C237" s="301"/>
      <c r="D237" s="311"/>
      <c r="E237" s="268"/>
      <c r="F237" s="257"/>
      <c r="G237" s="257"/>
    </row>
    <row r="238" spans="1:7" x14ac:dyDescent="0.35">
      <c r="A238" s="268"/>
      <c r="B238" s="268"/>
      <c r="C238" s="301"/>
      <c r="D238" s="311"/>
      <c r="E238" s="268"/>
      <c r="F238" s="257"/>
      <c r="G238" s="257"/>
    </row>
    <row r="239" spans="1:7" x14ac:dyDescent="0.35">
      <c r="A239" s="268"/>
      <c r="B239" s="268"/>
      <c r="C239" s="301"/>
      <c r="D239" s="311"/>
      <c r="E239" s="268"/>
      <c r="F239" s="257"/>
      <c r="G239" s="257"/>
    </row>
    <row r="240" spans="1:7" x14ac:dyDescent="0.35">
      <c r="A240" s="268"/>
      <c r="B240" s="268"/>
      <c r="C240" s="301"/>
      <c r="D240" s="311"/>
      <c r="E240" s="268"/>
      <c r="F240" s="257"/>
      <c r="G240" s="257"/>
    </row>
    <row r="241" spans="1:7" x14ac:dyDescent="0.35">
      <c r="A241" s="268"/>
      <c r="B241" s="268"/>
      <c r="C241" s="301"/>
      <c r="D241" s="311"/>
      <c r="E241" s="268"/>
      <c r="F241" s="257"/>
      <c r="G241" s="257"/>
    </row>
    <row r="242" spans="1:7" x14ac:dyDescent="0.35">
      <c r="A242" s="268"/>
      <c r="B242" s="268"/>
      <c r="C242" s="301"/>
      <c r="D242" s="311"/>
      <c r="E242" s="268"/>
      <c r="F242" s="257"/>
      <c r="G242" s="257"/>
    </row>
    <row r="243" spans="1:7" x14ac:dyDescent="0.35">
      <c r="A243" s="268"/>
      <c r="B243" s="313"/>
      <c r="C243" s="301"/>
      <c r="D243" s="311"/>
      <c r="E243" s="268"/>
      <c r="F243" s="257"/>
      <c r="G243" s="257"/>
    </row>
    <row r="244" spans="1:7" x14ac:dyDescent="0.35">
      <c r="A244" s="268"/>
      <c r="B244" s="297"/>
      <c r="C244" s="301"/>
      <c r="D244" s="311"/>
      <c r="E244" s="268"/>
      <c r="F244" s="257"/>
      <c r="G244" s="257"/>
    </row>
    <row r="245" spans="1:7" x14ac:dyDescent="0.35">
      <c r="A245" s="268"/>
      <c r="B245" s="297"/>
      <c r="C245" s="301"/>
      <c r="D245" s="311"/>
      <c r="E245" s="268"/>
      <c r="F245" s="257"/>
      <c r="G245" s="257"/>
    </row>
    <row r="246" spans="1:7" x14ac:dyDescent="0.35">
      <c r="A246" s="268"/>
      <c r="B246" s="297"/>
      <c r="C246" s="301"/>
      <c r="D246" s="311"/>
      <c r="E246" s="268"/>
      <c r="F246" s="257"/>
      <c r="G246" s="257"/>
    </row>
    <row r="247" spans="1:7" x14ac:dyDescent="0.35">
      <c r="A247" s="268"/>
      <c r="B247" s="297"/>
      <c r="C247" s="301"/>
      <c r="D247" s="311"/>
      <c r="E247" s="268"/>
      <c r="F247" s="257"/>
      <c r="G247" s="257"/>
    </row>
    <row r="248" spans="1:7" x14ac:dyDescent="0.35">
      <c r="A248" s="268"/>
      <c r="B248" s="297"/>
      <c r="C248" s="301"/>
      <c r="D248" s="311"/>
      <c r="E248" s="268"/>
      <c r="F248" s="257"/>
      <c r="G248" s="257"/>
    </row>
    <row r="249" spans="1:7" x14ac:dyDescent="0.35">
      <c r="A249" s="268"/>
      <c r="B249" s="297"/>
      <c r="C249" s="301"/>
      <c r="D249" s="311"/>
      <c r="E249" s="268"/>
      <c r="F249" s="257"/>
      <c r="G249" s="257"/>
    </row>
    <row r="250" spans="1:7" x14ac:dyDescent="0.35">
      <c r="A250" s="268"/>
      <c r="B250" s="297"/>
      <c r="C250" s="268"/>
      <c r="D250" s="268"/>
      <c r="E250" s="268"/>
      <c r="F250" s="317"/>
      <c r="G250" s="317"/>
    </row>
    <row r="251" spans="1:7" x14ac:dyDescent="0.35">
      <c r="A251" s="268"/>
      <c r="B251" s="297"/>
      <c r="C251" s="268"/>
      <c r="D251" s="268"/>
      <c r="E251" s="268"/>
      <c r="F251" s="317"/>
      <c r="G251" s="317"/>
    </row>
    <row r="252" spans="1:7" x14ac:dyDescent="0.35">
      <c r="A252" s="268"/>
      <c r="B252" s="297"/>
      <c r="C252" s="268"/>
      <c r="D252" s="268"/>
      <c r="E252" s="268"/>
      <c r="F252" s="317"/>
      <c r="G252" s="317"/>
    </row>
    <row r="253" spans="1:7" x14ac:dyDescent="0.35">
      <c r="A253" s="291"/>
      <c r="B253" s="291"/>
      <c r="C253" s="291"/>
      <c r="D253" s="291"/>
      <c r="E253" s="291"/>
      <c r="F253" s="291"/>
      <c r="G253" s="291"/>
    </row>
    <row r="254" spans="1:7" x14ac:dyDescent="0.35">
      <c r="A254" s="268"/>
      <c r="B254" s="268"/>
      <c r="C254" s="256"/>
      <c r="D254" s="268"/>
      <c r="E254" s="312"/>
      <c r="F254" s="312"/>
      <c r="G254" s="312"/>
    </row>
    <row r="255" spans="1:7" x14ac:dyDescent="0.35">
      <c r="A255" s="268"/>
      <c r="B255" s="268"/>
      <c r="C255" s="256"/>
      <c r="D255" s="268"/>
      <c r="E255" s="312"/>
      <c r="F255" s="312"/>
      <c r="G255" s="267"/>
    </row>
    <row r="256" spans="1:7" x14ac:dyDescent="0.35">
      <c r="A256" s="268"/>
      <c r="B256" s="268"/>
      <c r="C256" s="256"/>
      <c r="D256" s="268"/>
      <c r="E256" s="312"/>
      <c r="F256" s="312"/>
      <c r="G256" s="267"/>
    </row>
    <row r="257" spans="1:7" x14ac:dyDescent="0.35">
      <c r="A257" s="268"/>
      <c r="B257" s="270"/>
      <c r="C257" s="256"/>
      <c r="D257" s="269"/>
      <c r="E257" s="269"/>
      <c r="F257" s="277"/>
      <c r="G257" s="277"/>
    </row>
    <row r="258" spans="1:7" x14ac:dyDescent="0.35">
      <c r="A258" s="268"/>
      <c r="B258" s="268"/>
      <c r="C258" s="256"/>
      <c r="D258" s="268"/>
      <c r="E258" s="312"/>
      <c r="F258" s="312"/>
      <c r="G258" s="267"/>
    </row>
    <row r="259" spans="1:7" x14ac:dyDescent="0.35">
      <c r="A259" s="268"/>
      <c r="B259" s="297"/>
      <c r="C259" s="256"/>
      <c r="D259" s="268"/>
      <c r="E259" s="312"/>
      <c r="F259" s="312"/>
      <c r="G259" s="267"/>
    </row>
    <row r="260" spans="1:7" x14ac:dyDescent="0.35">
      <c r="A260" s="268"/>
      <c r="B260" s="297"/>
      <c r="C260" s="318"/>
      <c r="D260" s="268"/>
      <c r="E260" s="312"/>
      <c r="F260" s="312"/>
      <c r="G260" s="267"/>
    </row>
    <row r="261" spans="1:7" x14ac:dyDescent="0.35">
      <c r="A261" s="268"/>
      <c r="B261" s="297"/>
      <c r="C261" s="256"/>
      <c r="D261" s="268"/>
      <c r="E261" s="312"/>
      <c r="F261" s="312"/>
      <c r="G261" s="267"/>
    </row>
    <row r="262" spans="1:7" x14ac:dyDescent="0.35">
      <c r="A262" s="268"/>
      <c r="B262" s="297"/>
      <c r="C262" s="256"/>
      <c r="D262" s="268"/>
      <c r="E262" s="312"/>
      <c r="F262" s="312"/>
      <c r="G262" s="267"/>
    </row>
    <row r="263" spans="1:7" x14ac:dyDescent="0.35">
      <c r="A263" s="268"/>
      <c r="B263" s="297"/>
      <c r="C263" s="256"/>
      <c r="D263" s="268"/>
      <c r="E263" s="312"/>
      <c r="F263" s="312"/>
      <c r="G263" s="267"/>
    </row>
    <row r="264" spans="1:7" x14ac:dyDescent="0.35">
      <c r="A264" s="268"/>
      <c r="B264" s="297"/>
      <c r="C264" s="256"/>
      <c r="D264" s="268"/>
      <c r="E264" s="312"/>
      <c r="F264" s="312"/>
      <c r="G264" s="267"/>
    </row>
    <row r="265" spans="1:7" x14ac:dyDescent="0.35">
      <c r="A265" s="268"/>
      <c r="B265" s="297"/>
      <c r="C265" s="256"/>
      <c r="D265" s="268"/>
      <c r="E265" s="312"/>
      <c r="F265" s="312"/>
      <c r="G265" s="267"/>
    </row>
    <row r="266" spans="1:7" x14ac:dyDescent="0.35">
      <c r="A266" s="268"/>
      <c r="B266" s="297"/>
      <c r="C266" s="256"/>
      <c r="D266" s="268"/>
      <c r="E266" s="312"/>
      <c r="F266" s="312"/>
      <c r="G266" s="267"/>
    </row>
    <row r="267" spans="1:7" x14ac:dyDescent="0.35">
      <c r="A267" s="268"/>
      <c r="B267" s="297"/>
      <c r="C267" s="256"/>
      <c r="D267" s="268"/>
      <c r="E267" s="312"/>
      <c r="F267" s="312"/>
      <c r="G267" s="267"/>
    </row>
    <row r="268" spans="1:7" x14ac:dyDescent="0.35">
      <c r="A268" s="268"/>
      <c r="B268" s="297"/>
      <c r="C268" s="256"/>
      <c r="D268" s="268"/>
      <c r="E268" s="312"/>
      <c r="F268" s="312"/>
      <c r="G268" s="267"/>
    </row>
    <row r="269" spans="1:7" x14ac:dyDescent="0.35">
      <c r="A269" s="268"/>
      <c r="B269" s="297"/>
      <c r="C269" s="256"/>
      <c r="D269" s="268"/>
      <c r="E269" s="312"/>
      <c r="F269" s="312"/>
      <c r="G269" s="267"/>
    </row>
    <row r="270" spans="1:7" x14ac:dyDescent="0.35">
      <c r="A270" s="291"/>
      <c r="B270" s="291"/>
      <c r="C270" s="291"/>
      <c r="D270" s="291"/>
      <c r="E270" s="291"/>
      <c r="F270" s="291"/>
      <c r="G270" s="291"/>
    </row>
    <row r="271" spans="1:7" x14ac:dyDescent="0.35">
      <c r="A271" s="268"/>
      <c r="B271" s="268"/>
      <c r="C271" s="256"/>
      <c r="D271" s="268"/>
      <c r="E271" s="267"/>
      <c r="F271" s="267"/>
      <c r="G271" s="267"/>
    </row>
    <row r="272" spans="1:7" x14ac:dyDescent="0.35">
      <c r="A272" s="268"/>
      <c r="B272" s="268"/>
      <c r="C272" s="256"/>
      <c r="D272" s="268"/>
      <c r="E272" s="267"/>
      <c r="F272" s="267"/>
      <c r="G272" s="267"/>
    </row>
    <row r="273" spans="1:7" x14ac:dyDescent="0.35">
      <c r="A273" s="268"/>
      <c r="B273" s="268"/>
      <c r="C273" s="256"/>
      <c r="D273" s="268"/>
      <c r="E273" s="267"/>
      <c r="F273" s="267"/>
      <c r="G273" s="267"/>
    </row>
    <row r="274" spans="1:7" x14ac:dyDescent="0.35">
      <c r="A274" s="268"/>
      <c r="B274" s="268"/>
      <c r="C274" s="256"/>
      <c r="D274" s="268"/>
      <c r="E274" s="267"/>
      <c r="F274" s="267"/>
      <c r="G274" s="267"/>
    </row>
    <row r="275" spans="1:7" x14ac:dyDescent="0.35">
      <c r="A275" s="268"/>
      <c r="B275" s="268"/>
      <c r="C275" s="256"/>
      <c r="D275" s="268"/>
      <c r="E275" s="267"/>
      <c r="F275" s="267"/>
      <c r="G275" s="267"/>
    </row>
    <row r="276" spans="1:7" x14ac:dyDescent="0.35">
      <c r="A276" s="268"/>
      <c r="B276" s="268"/>
      <c r="C276" s="256"/>
      <c r="D276" s="268"/>
      <c r="E276" s="267"/>
      <c r="F276" s="267"/>
      <c r="G276" s="267"/>
    </row>
    <row r="277" spans="1:7" x14ac:dyDescent="0.35">
      <c r="A277" s="291"/>
      <c r="B277" s="291"/>
      <c r="C277" s="291"/>
      <c r="D277" s="291"/>
      <c r="E277" s="291"/>
      <c r="F277" s="291"/>
      <c r="G277" s="291"/>
    </row>
    <row r="278" spans="1:7" x14ac:dyDescent="0.35">
      <c r="A278" s="268"/>
      <c r="B278" s="270"/>
      <c r="C278" s="268"/>
      <c r="D278" s="268"/>
      <c r="E278" s="271"/>
      <c r="F278" s="271"/>
      <c r="G278" s="271"/>
    </row>
    <row r="279" spans="1:7" x14ac:dyDescent="0.35">
      <c r="A279" s="268"/>
      <c r="B279" s="270"/>
      <c r="C279" s="268"/>
      <c r="D279" s="268"/>
      <c r="E279" s="271"/>
      <c r="F279" s="271"/>
      <c r="G279" s="271"/>
    </row>
    <row r="280" spans="1:7" x14ac:dyDescent="0.35">
      <c r="A280" s="268"/>
      <c r="B280" s="270"/>
      <c r="C280" s="268"/>
      <c r="D280" s="268"/>
      <c r="E280" s="271"/>
      <c r="F280" s="271"/>
      <c r="G280" s="271"/>
    </row>
    <row r="281" spans="1:7" x14ac:dyDescent="0.35">
      <c r="A281" s="268"/>
      <c r="B281" s="270"/>
      <c r="C281" s="268"/>
      <c r="D281" s="268"/>
      <c r="E281" s="271"/>
      <c r="F281" s="271"/>
      <c r="G281" s="271"/>
    </row>
    <row r="282" spans="1:7" x14ac:dyDescent="0.35">
      <c r="A282" s="268"/>
      <c r="B282" s="270"/>
      <c r="C282" s="268"/>
      <c r="D282" s="268"/>
      <c r="E282" s="271"/>
      <c r="F282" s="271"/>
      <c r="G282" s="271"/>
    </row>
    <row r="283" spans="1:7" x14ac:dyDescent="0.35">
      <c r="A283" s="268"/>
      <c r="B283" s="270"/>
      <c r="C283" s="268"/>
      <c r="D283" s="268"/>
      <c r="E283" s="271"/>
      <c r="F283" s="271"/>
      <c r="G283" s="271"/>
    </row>
    <row r="284" spans="1:7" x14ac:dyDescent="0.35">
      <c r="A284" s="268"/>
      <c r="B284" s="270"/>
      <c r="C284" s="268"/>
      <c r="D284" s="268"/>
      <c r="E284" s="271"/>
      <c r="F284" s="271"/>
      <c r="G284" s="271"/>
    </row>
    <row r="285" spans="1:7" x14ac:dyDescent="0.35">
      <c r="A285" s="268"/>
      <c r="B285" s="270"/>
      <c r="C285" s="268"/>
      <c r="D285" s="268"/>
      <c r="E285" s="271"/>
      <c r="F285" s="271"/>
      <c r="G285" s="271"/>
    </row>
    <row r="286" spans="1:7" x14ac:dyDescent="0.35">
      <c r="A286" s="268"/>
      <c r="B286" s="270"/>
      <c r="C286" s="268"/>
      <c r="D286" s="268"/>
      <c r="E286" s="271"/>
      <c r="F286" s="271"/>
      <c r="G286" s="271"/>
    </row>
    <row r="287" spans="1:7" x14ac:dyDescent="0.35">
      <c r="A287" s="268"/>
      <c r="B287" s="270"/>
      <c r="C287" s="268"/>
      <c r="D287" s="268"/>
      <c r="E287" s="271"/>
      <c r="F287" s="271"/>
      <c r="G287" s="271"/>
    </row>
    <row r="288" spans="1:7" x14ac:dyDescent="0.35">
      <c r="A288" s="268"/>
      <c r="B288" s="270"/>
      <c r="C288" s="268"/>
      <c r="D288" s="268"/>
      <c r="E288" s="271"/>
      <c r="F288" s="271"/>
      <c r="G288" s="271"/>
    </row>
    <row r="289" spans="1:7" x14ac:dyDescent="0.35">
      <c r="A289" s="268"/>
      <c r="B289" s="270"/>
      <c r="C289" s="268"/>
      <c r="D289" s="268"/>
      <c r="E289" s="271"/>
      <c r="F289" s="271"/>
      <c r="G289" s="271"/>
    </row>
    <row r="290" spans="1:7" x14ac:dyDescent="0.35">
      <c r="A290" s="268"/>
      <c r="B290" s="270"/>
      <c r="C290" s="268"/>
      <c r="D290" s="268"/>
      <c r="E290" s="271"/>
      <c r="F290" s="271"/>
      <c r="G290" s="271"/>
    </row>
    <row r="291" spans="1:7" x14ac:dyDescent="0.35">
      <c r="A291" s="268"/>
      <c r="B291" s="270"/>
      <c r="C291" s="268"/>
      <c r="D291" s="268"/>
      <c r="E291" s="271"/>
      <c r="F291" s="271"/>
      <c r="G291" s="271"/>
    </row>
    <row r="292" spans="1:7" x14ac:dyDescent="0.35">
      <c r="A292" s="268"/>
      <c r="B292" s="270"/>
      <c r="C292" s="268"/>
      <c r="D292" s="268"/>
      <c r="E292" s="271"/>
      <c r="F292" s="271"/>
      <c r="G292" s="271"/>
    </row>
    <row r="293" spans="1:7" x14ac:dyDescent="0.35">
      <c r="A293" s="268"/>
      <c r="B293" s="270"/>
      <c r="C293" s="268"/>
      <c r="D293" s="268"/>
      <c r="E293" s="271"/>
      <c r="F293" s="271"/>
      <c r="G293" s="271"/>
    </row>
    <row r="294" spans="1:7" x14ac:dyDescent="0.35">
      <c r="A294" s="268"/>
      <c r="B294" s="270"/>
      <c r="C294" s="268"/>
      <c r="D294" s="268"/>
      <c r="E294" s="271"/>
      <c r="F294" s="271"/>
      <c r="G294" s="271"/>
    </row>
    <row r="295" spans="1:7" x14ac:dyDescent="0.35">
      <c r="A295" s="268"/>
      <c r="B295" s="270"/>
      <c r="C295" s="268"/>
      <c r="D295" s="268"/>
      <c r="E295" s="271"/>
      <c r="F295" s="271"/>
      <c r="G295" s="271"/>
    </row>
    <row r="296" spans="1:7" x14ac:dyDescent="0.35">
      <c r="A296" s="268"/>
      <c r="B296" s="270"/>
      <c r="C296" s="268"/>
      <c r="D296" s="268"/>
      <c r="E296" s="271"/>
      <c r="F296" s="271"/>
      <c r="G296" s="271"/>
    </row>
    <row r="297" spans="1:7" x14ac:dyDescent="0.35">
      <c r="A297" s="268"/>
      <c r="B297" s="270"/>
      <c r="C297" s="268"/>
      <c r="D297" s="268"/>
      <c r="E297" s="271"/>
      <c r="F297" s="271"/>
      <c r="G297" s="271"/>
    </row>
    <row r="298" spans="1:7" x14ac:dyDescent="0.35">
      <c r="A298" s="268"/>
      <c r="B298" s="270"/>
      <c r="C298" s="268"/>
      <c r="D298" s="268"/>
      <c r="E298" s="271"/>
      <c r="F298" s="271"/>
      <c r="G298" s="271"/>
    </row>
    <row r="299" spans="1:7" x14ac:dyDescent="0.35">
      <c r="A299" s="268"/>
      <c r="B299" s="270"/>
      <c r="C299" s="268"/>
      <c r="D299" s="268"/>
      <c r="E299" s="271"/>
      <c r="F299" s="271"/>
      <c r="G299" s="271"/>
    </row>
    <row r="300" spans="1:7" x14ac:dyDescent="0.35">
      <c r="A300" s="291"/>
      <c r="B300" s="291"/>
      <c r="C300" s="291"/>
      <c r="D300" s="291"/>
      <c r="E300" s="291"/>
      <c r="F300" s="291"/>
      <c r="G300" s="291"/>
    </row>
    <row r="301" spans="1:7" x14ac:dyDescent="0.35">
      <c r="A301" s="268"/>
      <c r="B301" s="270"/>
      <c r="C301" s="268"/>
      <c r="D301" s="268"/>
      <c r="E301" s="271"/>
      <c r="F301" s="271"/>
      <c r="G301" s="271"/>
    </row>
    <row r="302" spans="1:7" x14ac:dyDescent="0.35">
      <c r="A302" s="268"/>
      <c r="B302" s="270"/>
      <c r="C302" s="268"/>
      <c r="D302" s="268"/>
      <c r="E302" s="271"/>
      <c r="F302" s="271"/>
      <c r="G302" s="271"/>
    </row>
    <row r="303" spans="1:7" x14ac:dyDescent="0.35">
      <c r="A303" s="268"/>
      <c r="B303" s="270"/>
      <c r="C303" s="268"/>
      <c r="D303" s="268"/>
      <c r="E303" s="271"/>
      <c r="F303" s="271"/>
      <c r="G303" s="271"/>
    </row>
    <row r="304" spans="1:7" x14ac:dyDescent="0.35">
      <c r="A304" s="268"/>
      <c r="B304" s="270"/>
      <c r="C304" s="268"/>
      <c r="D304" s="268"/>
      <c r="E304" s="271"/>
      <c r="F304" s="271"/>
      <c r="G304" s="271"/>
    </row>
    <row r="305" spans="1:7" x14ac:dyDescent="0.35">
      <c r="A305" s="268"/>
      <c r="B305" s="270"/>
      <c r="C305" s="268"/>
      <c r="D305" s="268"/>
      <c r="E305" s="271"/>
      <c r="F305" s="271"/>
      <c r="G305" s="271"/>
    </row>
    <row r="306" spans="1:7" x14ac:dyDescent="0.35">
      <c r="A306" s="268"/>
      <c r="B306" s="270"/>
      <c r="C306" s="268"/>
      <c r="D306" s="268"/>
      <c r="E306" s="271"/>
      <c r="F306" s="271"/>
      <c r="G306" s="271"/>
    </row>
    <row r="307" spans="1:7" x14ac:dyDescent="0.35">
      <c r="A307" s="268"/>
      <c r="B307" s="270"/>
      <c r="C307" s="268"/>
      <c r="D307" s="268"/>
      <c r="E307" s="271"/>
      <c r="F307" s="271"/>
      <c r="G307" s="271"/>
    </row>
    <row r="308" spans="1:7" x14ac:dyDescent="0.35">
      <c r="A308" s="268"/>
      <c r="B308" s="270"/>
      <c r="C308" s="268"/>
      <c r="D308" s="268"/>
      <c r="E308" s="271"/>
      <c r="F308" s="271"/>
      <c r="G308" s="271"/>
    </row>
    <row r="309" spans="1:7" x14ac:dyDescent="0.35">
      <c r="A309" s="268"/>
      <c r="B309" s="270"/>
      <c r="C309" s="268"/>
      <c r="D309" s="268"/>
      <c r="E309" s="271"/>
      <c r="F309" s="271"/>
      <c r="G309" s="271"/>
    </row>
    <row r="310" spans="1:7" x14ac:dyDescent="0.35">
      <c r="A310" s="268"/>
      <c r="B310" s="270"/>
      <c r="C310" s="268"/>
      <c r="D310" s="268"/>
      <c r="E310" s="271"/>
      <c r="F310" s="271"/>
      <c r="G310" s="271"/>
    </row>
    <row r="311" spans="1:7" x14ac:dyDescent="0.35">
      <c r="A311" s="268"/>
      <c r="B311" s="270"/>
      <c r="C311" s="268"/>
      <c r="D311" s="268"/>
      <c r="E311" s="271"/>
      <c r="F311" s="271"/>
      <c r="G311" s="271"/>
    </row>
    <row r="312" spans="1:7" x14ac:dyDescent="0.35">
      <c r="A312" s="268"/>
      <c r="B312" s="270"/>
      <c r="C312" s="268"/>
      <c r="D312" s="268"/>
      <c r="E312" s="271"/>
      <c r="F312" s="271"/>
      <c r="G312" s="271"/>
    </row>
    <row r="313" spans="1:7" x14ac:dyDescent="0.35">
      <c r="A313" s="268"/>
      <c r="B313" s="270"/>
      <c r="C313" s="268"/>
      <c r="D313" s="268"/>
      <c r="E313" s="271"/>
      <c r="F313" s="271"/>
      <c r="G313" s="271"/>
    </row>
    <row r="314" spans="1:7" x14ac:dyDescent="0.35">
      <c r="A314" s="291"/>
      <c r="B314" s="291"/>
      <c r="C314" s="291"/>
      <c r="D314" s="291"/>
      <c r="E314" s="291"/>
      <c r="F314" s="291"/>
      <c r="G314" s="291"/>
    </row>
    <row r="315" spans="1:7" x14ac:dyDescent="0.35">
      <c r="A315" s="268"/>
      <c r="B315" s="270"/>
      <c r="C315" s="268"/>
      <c r="D315" s="268"/>
      <c r="E315" s="271"/>
      <c r="F315" s="271"/>
      <c r="G315" s="271"/>
    </row>
    <row r="316" spans="1:7" x14ac:dyDescent="0.35">
      <c r="A316" s="268"/>
      <c r="B316" s="266"/>
      <c r="C316" s="268"/>
      <c r="D316" s="268"/>
      <c r="E316" s="271"/>
      <c r="F316" s="271"/>
      <c r="G316" s="271"/>
    </row>
    <row r="317" spans="1:7" x14ac:dyDescent="0.35">
      <c r="A317" s="268"/>
      <c r="B317" s="270"/>
      <c r="C317" s="268"/>
      <c r="D317" s="268"/>
      <c r="E317" s="271"/>
      <c r="F317" s="271"/>
      <c r="G317" s="271"/>
    </row>
    <row r="318" spans="1:7" x14ac:dyDescent="0.35">
      <c r="A318" s="268"/>
      <c r="B318" s="270"/>
      <c r="C318" s="268"/>
      <c r="D318" s="268"/>
      <c r="E318" s="271"/>
      <c r="F318" s="271"/>
      <c r="G318" s="271"/>
    </row>
    <row r="319" spans="1:7" x14ac:dyDescent="0.35">
      <c r="A319" s="268"/>
      <c r="B319" s="270"/>
      <c r="C319" s="268"/>
      <c r="D319" s="268"/>
      <c r="E319" s="271"/>
      <c r="F319" s="271"/>
      <c r="G319" s="271"/>
    </row>
    <row r="320" spans="1:7" x14ac:dyDescent="0.35">
      <c r="A320" s="268"/>
      <c r="B320" s="270"/>
      <c r="C320" s="268"/>
      <c r="D320" s="268"/>
      <c r="E320" s="271"/>
      <c r="F320" s="271"/>
      <c r="G320" s="271"/>
    </row>
    <row r="321" spans="1:7" x14ac:dyDescent="0.35">
      <c r="A321" s="268"/>
      <c r="B321" s="270"/>
      <c r="C321" s="268"/>
      <c r="D321" s="268"/>
      <c r="E321" s="271"/>
      <c r="F321" s="271"/>
      <c r="G321" s="271"/>
    </row>
    <row r="322" spans="1:7" x14ac:dyDescent="0.35">
      <c r="A322" s="268"/>
      <c r="B322" s="270"/>
      <c r="C322" s="268"/>
      <c r="D322" s="268"/>
      <c r="E322" s="271"/>
      <c r="F322" s="271"/>
      <c r="G322" s="271"/>
    </row>
    <row r="323" spans="1:7" x14ac:dyDescent="0.35">
      <c r="A323" s="268"/>
      <c r="B323" s="270"/>
      <c r="C323" s="268"/>
      <c r="D323" s="268"/>
      <c r="E323" s="271"/>
      <c r="F323" s="271"/>
      <c r="G323" s="271"/>
    </row>
    <row r="324" spans="1:7" x14ac:dyDescent="0.35">
      <c r="A324" s="291"/>
      <c r="B324" s="291"/>
      <c r="C324" s="291"/>
      <c r="D324" s="291"/>
      <c r="E324" s="291"/>
      <c r="F324" s="291"/>
      <c r="G324" s="291"/>
    </row>
    <row r="325" spans="1:7" x14ac:dyDescent="0.35">
      <c r="A325" s="268"/>
      <c r="B325" s="270"/>
      <c r="C325" s="268"/>
      <c r="D325" s="268"/>
      <c r="E325" s="271"/>
      <c r="F325" s="271"/>
      <c r="G325" s="271"/>
    </row>
    <row r="326" spans="1:7" x14ac:dyDescent="0.35">
      <c r="A326" s="268"/>
      <c r="B326" s="266"/>
      <c r="C326" s="268"/>
      <c r="D326" s="268"/>
      <c r="E326" s="271"/>
      <c r="F326" s="271"/>
      <c r="G326" s="271"/>
    </row>
    <row r="327" spans="1:7" x14ac:dyDescent="0.35">
      <c r="A327" s="268"/>
      <c r="B327" s="270"/>
      <c r="C327" s="268"/>
      <c r="D327" s="268"/>
      <c r="E327" s="271"/>
      <c r="F327" s="271"/>
      <c r="G327" s="271"/>
    </row>
    <row r="328" spans="1:7" x14ac:dyDescent="0.35">
      <c r="A328" s="268"/>
      <c r="B328" s="268"/>
      <c r="C328" s="268"/>
      <c r="D328" s="268"/>
      <c r="E328" s="271"/>
      <c r="F328" s="271"/>
      <c r="G328" s="271"/>
    </row>
    <row r="329" spans="1:7" x14ac:dyDescent="0.35">
      <c r="A329" s="268"/>
      <c r="B329" s="270"/>
      <c r="C329" s="268"/>
      <c r="D329" s="268"/>
      <c r="E329" s="271"/>
      <c r="F329" s="271"/>
      <c r="G329" s="271"/>
    </row>
    <row r="330" spans="1:7" x14ac:dyDescent="0.35">
      <c r="A330" s="268"/>
      <c r="B330" s="268"/>
      <c r="C330" s="256"/>
      <c r="D330" s="268"/>
      <c r="E330" s="267"/>
      <c r="F330" s="267"/>
      <c r="G330" s="267"/>
    </row>
    <row r="331" spans="1:7" x14ac:dyDescent="0.35">
      <c r="A331" s="268"/>
      <c r="B331" s="268"/>
      <c r="C331" s="256"/>
      <c r="D331" s="268"/>
      <c r="E331" s="267"/>
      <c r="F331" s="267"/>
      <c r="G331" s="267"/>
    </row>
    <row r="332" spans="1:7" x14ac:dyDescent="0.35">
      <c r="A332" s="268"/>
      <c r="B332" s="268"/>
      <c r="C332" s="256"/>
      <c r="D332" s="268"/>
      <c r="E332" s="267"/>
      <c r="F332" s="267"/>
      <c r="G332" s="267"/>
    </row>
    <row r="333" spans="1:7" x14ac:dyDescent="0.35">
      <c r="A333" s="268"/>
      <c r="B333" s="268"/>
      <c r="C333" s="256"/>
      <c r="D333" s="268"/>
      <c r="E333" s="267"/>
      <c r="F333" s="267"/>
      <c r="G333" s="267"/>
    </row>
    <row r="334" spans="1:7" x14ac:dyDescent="0.35">
      <c r="A334" s="268"/>
      <c r="B334" s="268"/>
      <c r="C334" s="256"/>
      <c r="D334" s="268"/>
      <c r="E334" s="267"/>
      <c r="F334" s="267"/>
      <c r="G334" s="267"/>
    </row>
    <row r="335" spans="1:7" x14ac:dyDescent="0.35">
      <c r="A335" s="268"/>
      <c r="B335" s="268"/>
      <c r="C335" s="256"/>
      <c r="D335" s="268"/>
      <c r="E335" s="267"/>
      <c r="F335" s="267"/>
      <c r="G335" s="267"/>
    </row>
    <row r="336" spans="1:7" x14ac:dyDescent="0.35">
      <c r="A336" s="268"/>
      <c r="B336" s="268"/>
      <c r="C336" s="256"/>
      <c r="D336" s="268"/>
      <c r="E336" s="267"/>
      <c r="F336" s="267"/>
      <c r="G336" s="267"/>
    </row>
    <row r="337" spans="1:7" x14ac:dyDescent="0.35">
      <c r="A337" s="268"/>
      <c r="B337" s="268"/>
      <c r="C337" s="256"/>
      <c r="D337" s="268"/>
      <c r="E337" s="267"/>
      <c r="F337" s="267"/>
      <c r="G337" s="267"/>
    </row>
    <row r="338" spans="1:7" x14ac:dyDescent="0.35">
      <c r="A338" s="268"/>
      <c r="B338" s="268"/>
      <c r="C338" s="256"/>
      <c r="D338" s="268"/>
      <c r="E338" s="267"/>
      <c r="F338" s="267"/>
      <c r="G338" s="267"/>
    </row>
    <row r="339" spans="1:7" x14ac:dyDescent="0.35">
      <c r="A339" s="268"/>
      <c r="B339" s="268"/>
      <c r="C339" s="256"/>
      <c r="D339" s="268"/>
      <c r="E339" s="267"/>
      <c r="F339" s="267"/>
      <c r="G339" s="267"/>
    </row>
    <row r="340" spans="1:7" x14ac:dyDescent="0.35">
      <c r="A340" s="268"/>
      <c r="B340" s="268"/>
      <c r="C340" s="256"/>
      <c r="D340" s="268"/>
      <c r="E340" s="267"/>
      <c r="F340" s="267"/>
      <c r="G340" s="267"/>
    </row>
    <row r="341" spans="1:7" x14ac:dyDescent="0.35">
      <c r="A341" s="268"/>
      <c r="B341" s="268"/>
      <c r="C341" s="256"/>
      <c r="D341" s="268"/>
      <c r="E341" s="267"/>
      <c r="F341" s="267"/>
      <c r="G341" s="267"/>
    </row>
    <row r="342" spans="1:7" x14ac:dyDescent="0.35">
      <c r="A342" s="268"/>
      <c r="B342" s="268"/>
      <c r="C342" s="256"/>
      <c r="D342" s="268"/>
      <c r="E342" s="267"/>
      <c r="F342" s="267"/>
      <c r="G342" s="267"/>
    </row>
    <row r="343" spans="1:7" x14ac:dyDescent="0.35">
      <c r="A343" s="268"/>
      <c r="B343" s="268"/>
      <c r="C343" s="256"/>
      <c r="D343" s="268"/>
      <c r="E343" s="267"/>
      <c r="F343" s="267"/>
      <c r="G343" s="267"/>
    </row>
    <row r="344" spans="1:7" x14ac:dyDescent="0.35">
      <c r="A344" s="268"/>
      <c r="B344" s="268"/>
      <c r="C344" s="256"/>
      <c r="D344" s="268"/>
      <c r="E344" s="267"/>
      <c r="F344" s="267"/>
      <c r="G344" s="267"/>
    </row>
    <row r="345" spans="1:7" x14ac:dyDescent="0.35">
      <c r="A345" s="268"/>
      <c r="B345" s="268"/>
      <c r="C345" s="256"/>
      <c r="D345" s="268"/>
      <c r="E345" s="267"/>
      <c r="F345" s="267"/>
      <c r="G345" s="267"/>
    </row>
    <row r="346" spans="1:7" x14ac:dyDescent="0.35">
      <c r="A346" s="268"/>
      <c r="B346" s="268"/>
      <c r="C346" s="256"/>
      <c r="D346" s="268"/>
      <c r="E346" s="267"/>
      <c r="F346" s="267"/>
      <c r="G346" s="267"/>
    </row>
    <row r="347" spans="1:7" x14ac:dyDescent="0.35">
      <c r="A347" s="268"/>
      <c r="B347" s="268"/>
      <c r="C347" s="256"/>
      <c r="D347" s="268"/>
      <c r="E347" s="267"/>
      <c r="F347" s="267"/>
      <c r="G347" s="267"/>
    </row>
    <row r="348" spans="1:7" x14ac:dyDescent="0.35">
      <c r="A348" s="268"/>
      <c r="B348" s="268"/>
      <c r="C348" s="256"/>
      <c r="D348" s="268"/>
      <c r="E348" s="267"/>
      <c r="F348" s="267"/>
      <c r="G348" s="267"/>
    </row>
    <row r="349" spans="1:7" x14ac:dyDescent="0.35">
      <c r="A349" s="268"/>
      <c r="B349" s="268"/>
      <c r="C349" s="256"/>
      <c r="D349" s="268"/>
      <c r="E349" s="267"/>
      <c r="F349" s="267"/>
      <c r="G349" s="267"/>
    </row>
    <row r="350" spans="1:7" x14ac:dyDescent="0.35">
      <c r="A350" s="268"/>
      <c r="B350" s="268"/>
      <c r="C350" s="256"/>
      <c r="D350" s="268"/>
      <c r="E350" s="267"/>
      <c r="F350" s="267"/>
      <c r="G350" s="267"/>
    </row>
    <row r="351" spans="1:7" x14ac:dyDescent="0.35">
      <c r="A351" s="268"/>
      <c r="B351" s="268"/>
      <c r="C351" s="256"/>
      <c r="D351" s="268"/>
      <c r="E351" s="267"/>
      <c r="F351" s="267"/>
      <c r="G351" s="267"/>
    </row>
    <row r="352" spans="1:7" x14ac:dyDescent="0.35">
      <c r="A352" s="268"/>
      <c r="B352" s="268"/>
      <c r="C352" s="256"/>
      <c r="D352" s="268"/>
      <c r="E352" s="267"/>
      <c r="F352" s="267"/>
      <c r="G352" s="267"/>
    </row>
    <row r="353" spans="1:7" x14ac:dyDescent="0.35">
      <c r="A353" s="268"/>
      <c r="B353" s="268"/>
      <c r="C353" s="256"/>
      <c r="D353" s="268"/>
      <c r="E353" s="267"/>
      <c r="F353" s="267"/>
      <c r="G353" s="267"/>
    </row>
    <row r="354" spans="1:7" x14ac:dyDescent="0.35">
      <c r="A354" s="268"/>
      <c r="B354" s="268"/>
      <c r="C354" s="256"/>
      <c r="D354" s="268"/>
      <c r="E354" s="267"/>
      <c r="F354" s="267"/>
      <c r="G354" s="267"/>
    </row>
    <row r="355" spans="1:7" x14ac:dyDescent="0.35">
      <c r="A355" s="268"/>
      <c r="B355" s="268"/>
      <c r="C355" s="256"/>
      <c r="D355" s="268"/>
      <c r="E355" s="267"/>
      <c r="F355" s="267"/>
      <c r="G355" s="267"/>
    </row>
    <row r="356" spans="1:7" x14ac:dyDescent="0.35">
      <c r="A356" s="268"/>
      <c r="B356" s="268"/>
      <c r="C356" s="256"/>
      <c r="D356" s="268"/>
      <c r="E356" s="267"/>
      <c r="F356" s="267"/>
      <c r="G356" s="267"/>
    </row>
    <row r="357" spans="1:7" x14ac:dyDescent="0.35">
      <c r="A357" s="268"/>
      <c r="B357" s="268"/>
      <c r="C357" s="256"/>
      <c r="D357" s="268"/>
      <c r="E357" s="267"/>
      <c r="F357" s="267"/>
      <c r="G357" s="267"/>
    </row>
    <row r="358" spans="1:7" x14ac:dyDescent="0.35">
      <c r="A358" s="268"/>
      <c r="B358" s="268"/>
      <c r="C358" s="256"/>
      <c r="D358" s="268"/>
      <c r="E358" s="267"/>
      <c r="F358" s="267"/>
      <c r="G358" s="267"/>
    </row>
    <row r="359" spans="1:7" x14ac:dyDescent="0.35">
      <c r="A359" s="268"/>
      <c r="B359" s="268"/>
      <c r="C359" s="256"/>
      <c r="D359" s="268"/>
      <c r="E359" s="267"/>
      <c r="F359" s="267"/>
      <c r="G359" s="267"/>
    </row>
    <row r="360" spans="1:7" x14ac:dyDescent="0.35">
      <c r="A360" s="268"/>
      <c r="B360" s="268"/>
      <c r="C360" s="256"/>
      <c r="D360" s="268"/>
      <c r="E360" s="267"/>
      <c r="F360" s="267"/>
      <c r="G360" s="267"/>
    </row>
    <row r="361" spans="1:7" x14ac:dyDescent="0.35">
      <c r="A361" s="268"/>
      <c r="B361" s="268"/>
      <c r="C361" s="256"/>
      <c r="D361" s="268"/>
      <c r="E361" s="267"/>
      <c r="F361" s="267"/>
      <c r="G361" s="267"/>
    </row>
    <row r="362" spans="1:7" x14ac:dyDescent="0.35">
      <c r="A362" s="268"/>
      <c r="B362" s="268"/>
      <c r="C362" s="256"/>
      <c r="D362" s="268"/>
      <c r="E362" s="267"/>
      <c r="F362" s="267"/>
      <c r="G362" s="267"/>
    </row>
    <row r="363" spans="1:7" x14ac:dyDescent="0.35">
      <c r="A363" s="268"/>
      <c r="B363" s="268"/>
      <c r="C363" s="256"/>
      <c r="D363" s="268"/>
      <c r="E363" s="267"/>
      <c r="F363" s="267"/>
      <c r="G363" s="267"/>
    </row>
    <row r="364" spans="1:7" x14ac:dyDescent="0.35">
      <c r="A364" s="268"/>
      <c r="B364" s="268"/>
      <c r="C364" s="256"/>
      <c r="D364" s="268"/>
      <c r="E364" s="267"/>
      <c r="F364" s="267"/>
      <c r="G364" s="267"/>
    </row>
    <row r="365" spans="1:7" x14ac:dyDescent="0.35">
      <c r="A365" s="268"/>
      <c r="B365" s="268"/>
      <c r="C365" s="256"/>
      <c r="D365" s="268"/>
      <c r="E365" s="267"/>
      <c r="F365" s="267"/>
      <c r="G365" s="267"/>
    </row>
    <row r="366" spans="1:7" x14ac:dyDescent="0.35">
      <c r="A366" s="268"/>
      <c r="B366" s="268"/>
      <c r="C366" s="256"/>
      <c r="D366" s="268"/>
      <c r="E366" s="267"/>
      <c r="F366" s="267"/>
      <c r="G366" s="267"/>
    </row>
    <row r="367" spans="1:7" x14ac:dyDescent="0.35">
      <c r="A367" s="268"/>
      <c r="B367" s="268"/>
      <c r="C367" s="256"/>
      <c r="D367" s="268"/>
      <c r="E367" s="267"/>
      <c r="F367" s="267"/>
      <c r="G367" s="267"/>
    </row>
    <row r="368" spans="1:7" x14ac:dyDescent="0.35">
      <c r="A368" s="268"/>
      <c r="B368" s="268"/>
      <c r="C368" s="256"/>
      <c r="D368" s="268"/>
      <c r="E368" s="267"/>
      <c r="F368" s="267"/>
      <c r="G368" s="267"/>
    </row>
    <row r="369" spans="1:7" x14ac:dyDescent="0.35">
      <c r="A369" s="268"/>
      <c r="B369" s="268"/>
      <c r="C369" s="256"/>
      <c r="D369" s="268"/>
      <c r="E369" s="267"/>
      <c r="F369" s="267"/>
      <c r="G369" s="267"/>
    </row>
    <row r="370" spans="1:7" x14ac:dyDescent="0.35">
      <c r="A370" s="268"/>
      <c r="B370" s="268"/>
      <c r="C370" s="256"/>
      <c r="D370" s="268"/>
      <c r="E370" s="267"/>
      <c r="F370" s="267"/>
      <c r="G370" s="267"/>
    </row>
    <row r="371" spans="1:7" x14ac:dyDescent="0.35">
      <c r="A371" s="268"/>
      <c r="B371" s="268"/>
      <c r="C371" s="256"/>
      <c r="D371" s="268"/>
      <c r="E371" s="267"/>
      <c r="F371" s="267"/>
      <c r="G371" s="267"/>
    </row>
    <row r="372" spans="1:7" x14ac:dyDescent="0.35">
      <c r="A372" s="268"/>
      <c r="B372" s="268"/>
      <c r="C372" s="256"/>
      <c r="D372" s="268"/>
      <c r="E372" s="267"/>
      <c r="F372" s="267"/>
      <c r="G372" s="267"/>
    </row>
    <row r="373" spans="1:7" x14ac:dyDescent="0.35">
      <c r="A373" s="268"/>
      <c r="B373" s="268"/>
      <c r="C373" s="256"/>
      <c r="D373" s="268"/>
      <c r="E373" s="267"/>
      <c r="F373" s="267"/>
      <c r="G373" s="267"/>
    </row>
    <row r="374" spans="1:7" x14ac:dyDescent="0.35">
      <c r="A374" s="268"/>
      <c r="B374" s="268"/>
      <c r="C374" s="256"/>
      <c r="D374" s="268"/>
      <c r="E374" s="267"/>
      <c r="F374" s="267"/>
      <c r="G374" s="267"/>
    </row>
    <row r="375" spans="1:7" x14ac:dyDescent="0.35">
      <c r="A375" s="268"/>
      <c r="B375" s="268"/>
      <c r="C375" s="256"/>
      <c r="D375" s="268"/>
      <c r="E375" s="267"/>
      <c r="F375" s="267"/>
      <c r="G375" s="267"/>
    </row>
    <row r="376" spans="1:7" x14ac:dyDescent="0.35">
      <c r="A376" s="268"/>
      <c r="B376" s="268"/>
      <c r="C376" s="256"/>
      <c r="D376" s="268"/>
      <c r="E376" s="267"/>
      <c r="F376" s="267"/>
      <c r="G376" s="267"/>
    </row>
    <row r="377" spans="1:7" x14ac:dyDescent="0.35">
      <c r="A377" s="268"/>
      <c r="B377" s="268"/>
      <c r="C377" s="256"/>
      <c r="D377" s="268"/>
      <c r="E377" s="267"/>
      <c r="F377" s="267"/>
      <c r="G377" s="267"/>
    </row>
    <row r="378" spans="1:7" x14ac:dyDescent="0.35">
      <c r="A378" s="268"/>
      <c r="B378" s="268"/>
      <c r="C378" s="256"/>
      <c r="D378" s="268"/>
      <c r="E378" s="267"/>
      <c r="F378" s="267"/>
      <c r="G378" s="267"/>
    </row>
    <row r="379" spans="1:7" x14ac:dyDescent="0.35">
      <c r="A379" s="268"/>
      <c r="B379" s="268"/>
      <c r="C379" s="256"/>
      <c r="D379" s="268"/>
      <c r="E379" s="267"/>
      <c r="F379" s="267"/>
      <c r="G379" s="267"/>
    </row>
    <row r="380" spans="1:7" ht="18.5" x14ac:dyDescent="0.35">
      <c r="A380" s="307"/>
      <c r="B380" s="308"/>
      <c r="C380" s="307"/>
      <c r="D380" s="307"/>
      <c r="E380" s="307"/>
      <c r="F380" s="307"/>
      <c r="G380" s="307"/>
    </row>
    <row r="381" spans="1:7" x14ac:dyDescent="0.35">
      <c r="A381" s="291"/>
      <c r="B381" s="291"/>
      <c r="C381" s="291"/>
      <c r="D381" s="291"/>
      <c r="E381" s="291"/>
      <c r="F381" s="291"/>
      <c r="G381" s="291"/>
    </row>
    <row r="382" spans="1:7" x14ac:dyDescent="0.35">
      <c r="A382" s="268"/>
      <c r="B382" s="268"/>
      <c r="C382" s="301"/>
      <c r="D382" s="269"/>
      <c r="E382" s="269"/>
      <c r="F382" s="277"/>
      <c r="G382" s="277"/>
    </row>
    <row r="383" spans="1:7" x14ac:dyDescent="0.35">
      <c r="A383" s="269"/>
      <c r="B383" s="268"/>
      <c r="C383" s="268"/>
      <c r="D383" s="269"/>
      <c r="E383" s="269"/>
      <c r="F383" s="277"/>
      <c r="G383" s="277"/>
    </row>
    <row r="384" spans="1:7" x14ac:dyDescent="0.35">
      <c r="A384" s="268"/>
      <c r="B384" s="268"/>
      <c r="C384" s="268"/>
      <c r="D384" s="269"/>
      <c r="E384" s="269"/>
      <c r="F384" s="277"/>
      <c r="G384" s="277"/>
    </row>
    <row r="385" spans="1:7" x14ac:dyDescent="0.35">
      <c r="A385" s="268"/>
      <c r="B385" s="270"/>
      <c r="C385" s="301"/>
      <c r="D385" s="301"/>
      <c r="E385" s="269"/>
      <c r="F385" s="257"/>
      <c r="G385" s="257"/>
    </row>
    <row r="386" spans="1:7" x14ac:dyDescent="0.35">
      <c r="A386" s="268"/>
      <c r="B386" s="270"/>
      <c r="C386" s="301"/>
      <c r="D386" s="301"/>
      <c r="E386" s="269"/>
      <c r="F386" s="257"/>
      <c r="G386" s="257"/>
    </row>
    <row r="387" spans="1:7" x14ac:dyDescent="0.35">
      <c r="A387" s="268"/>
      <c r="B387" s="270"/>
      <c r="C387" s="301"/>
      <c r="D387" s="301"/>
      <c r="E387" s="269"/>
      <c r="F387" s="257"/>
      <c r="G387" s="257"/>
    </row>
    <row r="388" spans="1:7" x14ac:dyDescent="0.35">
      <c r="A388" s="268"/>
      <c r="B388" s="270"/>
      <c r="C388" s="301"/>
      <c r="D388" s="301"/>
      <c r="E388" s="269"/>
      <c r="F388" s="257"/>
      <c r="G388" s="257"/>
    </row>
    <row r="389" spans="1:7" x14ac:dyDescent="0.35">
      <c r="A389" s="268"/>
      <c r="B389" s="270"/>
      <c r="C389" s="301"/>
      <c r="D389" s="301"/>
      <c r="E389" s="269"/>
      <c r="F389" s="257"/>
      <c r="G389" s="257"/>
    </row>
    <row r="390" spans="1:7" x14ac:dyDescent="0.35">
      <c r="A390" s="268"/>
      <c r="B390" s="270"/>
      <c r="C390" s="301"/>
      <c r="D390" s="301"/>
      <c r="E390" s="269"/>
      <c r="F390" s="257"/>
      <c r="G390" s="257"/>
    </row>
    <row r="391" spans="1:7" x14ac:dyDescent="0.35">
      <c r="A391" s="268"/>
      <c r="B391" s="270"/>
      <c r="C391" s="301"/>
      <c r="D391" s="301"/>
      <c r="E391" s="269"/>
      <c r="F391" s="257"/>
      <c r="G391" s="257"/>
    </row>
    <row r="392" spans="1:7" x14ac:dyDescent="0.35">
      <c r="A392" s="268"/>
      <c r="B392" s="270"/>
      <c r="C392" s="301"/>
      <c r="D392" s="311"/>
      <c r="E392" s="269"/>
      <c r="F392" s="257"/>
      <c r="G392" s="257"/>
    </row>
    <row r="393" spans="1:7" x14ac:dyDescent="0.35">
      <c r="A393" s="268"/>
      <c r="B393" s="270"/>
      <c r="C393" s="301"/>
      <c r="D393" s="311"/>
      <c r="E393" s="269"/>
      <c r="F393" s="257"/>
      <c r="G393" s="257"/>
    </row>
    <row r="394" spans="1:7" x14ac:dyDescent="0.35">
      <c r="A394" s="268"/>
      <c r="B394" s="270"/>
      <c r="C394" s="301"/>
      <c r="D394" s="311"/>
      <c r="E394" s="270"/>
      <c r="F394" s="257"/>
      <c r="G394" s="257"/>
    </row>
    <row r="395" spans="1:7" x14ac:dyDescent="0.35">
      <c r="A395" s="268"/>
      <c r="B395" s="270"/>
      <c r="C395" s="301"/>
      <c r="D395" s="311"/>
      <c r="E395" s="270"/>
      <c r="F395" s="257"/>
      <c r="G395" s="257"/>
    </row>
    <row r="396" spans="1:7" x14ac:dyDescent="0.35">
      <c r="A396" s="268"/>
      <c r="B396" s="270"/>
      <c r="C396" s="301"/>
      <c r="D396" s="311"/>
      <c r="E396" s="270"/>
      <c r="F396" s="257"/>
      <c r="G396" s="257"/>
    </row>
    <row r="397" spans="1:7" x14ac:dyDescent="0.35">
      <c r="A397" s="268"/>
      <c r="B397" s="270"/>
      <c r="C397" s="301"/>
      <c r="D397" s="311"/>
      <c r="E397" s="270"/>
      <c r="F397" s="257"/>
      <c r="G397" s="257"/>
    </row>
    <row r="398" spans="1:7" x14ac:dyDescent="0.35">
      <c r="A398" s="268"/>
      <c r="B398" s="270"/>
      <c r="C398" s="301"/>
      <c r="D398" s="311"/>
      <c r="E398" s="270"/>
      <c r="F398" s="257"/>
      <c r="G398" s="257"/>
    </row>
    <row r="399" spans="1:7" x14ac:dyDescent="0.35">
      <c r="A399" s="268"/>
      <c r="B399" s="270"/>
      <c r="C399" s="301"/>
      <c r="D399" s="311"/>
      <c r="E399" s="270"/>
      <c r="F399" s="257"/>
      <c r="G399" s="257"/>
    </row>
    <row r="400" spans="1:7" x14ac:dyDescent="0.35">
      <c r="A400" s="268"/>
      <c r="B400" s="270"/>
      <c r="C400" s="301"/>
      <c r="D400" s="311"/>
      <c r="E400" s="268"/>
      <c r="F400" s="257"/>
      <c r="G400" s="257"/>
    </row>
    <row r="401" spans="1:7" x14ac:dyDescent="0.35">
      <c r="A401" s="268"/>
      <c r="B401" s="270"/>
      <c r="C401" s="301"/>
      <c r="D401" s="311"/>
      <c r="E401" s="312"/>
      <c r="F401" s="257"/>
      <c r="G401" s="257"/>
    </row>
    <row r="402" spans="1:7" x14ac:dyDescent="0.35">
      <c r="A402" s="268"/>
      <c r="B402" s="270"/>
      <c r="C402" s="301"/>
      <c r="D402" s="311"/>
      <c r="E402" s="312"/>
      <c r="F402" s="257"/>
      <c r="G402" s="257"/>
    </row>
    <row r="403" spans="1:7" x14ac:dyDescent="0.35">
      <c r="A403" s="268"/>
      <c r="B403" s="270"/>
      <c r="C403" s="301"/>
      <c r="D403" s="311"/>
      <c r="E403" s="312"/>
      <c r="F403" s="257"/>
      <c r="G403" s="257"/>
    </row>
    <row r="404" spans="1:7" x14ac:dyDescent="0.35">
      <c r="A404" s="268"/>
      <c r="B404" s="270"/>
      <c r="C404" s="301"/>
      <c r="D404" s="311"/>
      <c r="E404" s="312"/>
      <c r="F404" s="257"/>
      <c r="G404" s="257"/>
    </row>
    <row r="405" spans="1:7" x14ac:dyDescent="0.35">
      <c r="A405" s="268"/>
      <c r="B405" s="270"/>
      <c r="C405" s="301"/>
      <c r="D405" s="311"/>
      <c r="E405" s="312"/>
      <c r="F405" s="257"/>
      <c r="G405" s="257"/>
    </row>
    <row r="406" spans="1:7" x14ac:dyDescent="0.35">
      <c r="A406" s="268"/>
      <c r="B406" s="270"/>
      <c r="C406" s="301"/>
      <c r="D406" s="311"/>
      <c r="E406" s="312"/>
      <c r="F406" s="257"/>
      <c r="G406" s="257"/>
    </row>
    <row r="407" spans="1:7" x14ac:dyDescent="0.35">
      <c r="A407" s="268"/>
      <c r="B407" s="270"/>
      <c r="C407" s="301"/>
      <c r="D407" s="311"/>
      <c r="E407" s="312"/>
      <c r="F407" s="257"/>
      <c r="G407" s="257"/>
    </row>
    <row r="408" spans="1:7" x14ac:dyDescent="0.35">
      <c r="A408" s="268"/>
      <c r="B408" s="270"/>
      <c r="C408" s="301"/>
      <c r="D408" s="311"/>
      <c r="E408" s="312"/>
      <c r="F408" s="257"/>
      <c r="G408" s="257"/>
    </row>
    <row r="409" spans="1:7" x14ac:dyDescent="0.35">
      <c r="A409" s="268"/>
      <c r="B409" s="313"/>
      <c r="C409" s="314"/>
      <c r="D409" s="315"/>
      <c r="E409" s="312"/>
      <c r="F409" s="316"/>
      <c r="G409" s="316"/>
    </row>
    <row r="410" spans="1:7" x14ac:dyDescent="0.35">
      <c r="A410" s="291"/>
      <c r="B410" s="291"/>
      <c r="C410" s="291"/>
      <c r="D410" s="291"/>
      <c r="E410" s="291"/>
      <c r="F410" s="291"/>
      <c r="G410" s="291"/>
    </row>
    <row r="411" spans="1:7" x14ac:dyDescent="0.35">
      <c r="A411" s="268"/>
      <c r="B411" s="268"/>
      <c r="C411" s="256"/>
      <c r="D411" s="268"/>
      <c r="E411" s="268"/>
      <c r="F411" s="268"/>
      <c r="G411" s="268"/>
    </row>
    <row r="412" spans="1:7" x14ac:dyDescent="0.35">
      <c r="A412" s="268"/>
      <c r="B412" s="268"/>
      <c r="C412" s="268"/>
      <c r="D412" s="268"/>
      <c r="E412" s="268"/>
      <c r="F412" s="268"/>
      <c r="G412" s="268"/>
    </row>
    <row r="413" spans="1:7" x14ac:dyDescent="0.35">
      <c r="A413" s="268"/>
      <c r="B413" s="270"/>
      <c r="C413" s="268"/>
      <c r="D413" s="268"/>
      <c r="E413" s="268"/>
      <c r="F413" s="268"/>
      <c r="G413" s="268"/>
    </row>
    <row r="414" spans="1:7" x14ac:dyDescent="0.35">
      <c r="A414" s="268"/>
      <c r="B414" s="268"/>
      <c r="C414" s="301"/>
      <c r="D414" s="311"/>
      <c r="E414" s="268"/>
      <c r="F414" s="257"/>
      <c r="G414" s="257"/>
    </row>
    <row r="415" spans="1:7" x14ac:dyDescent="0.35">
      <c r="A415" s="268"/>
      <c r="B415" s="268"/>
      <c r="C415" s="301"/>
      <c r="D415" s="311"/>
      <c r="E415" s="268"/>
      <c r="F415" s="257"/>
      <c r="G415" s="257"/>
    </row>
    <row r="416" spans="1:7" x14ac:dyDescent="0.35">
      <c r="A416" s="268"/>
      <c r="B416" s="268"/>
      <c r="C416" s="301"/>
      <c r="D416" s="311"/>
      <c r="E416" s="268"/>
      <c r="F416" s="257"/>
      <c r="G416" s="257"/>
    </row>
    <row r="417" spans="1:7" x14ac:dyDescent="0.35">
      <c r="A417" s="268"/>
      <c r="B417" s="268"/>
      <c r="C417" s="301"/>
      <c r="D417" s="311"/>
      <c r="E417" s="268"/>
      <c r="F417" s="257"/>
      <c r="G417" s="257"/>
    </row>
    <row r="418" spans="1:7" x14ac:dyDescent="0.35">
      <c r="A418" s="268"/>
      <c r="B418" s="268"/>
      <c r="C418" s="301"/>
      <c r="D418" s="311"/>
      <c r="E418" s="268"/>
      <c r="F418" s="257"/>
      <c r="G418" s="257"/>
    </row>
    <row r="419" spans="1:7" x14ac:dyDescent="0.35">
      <c r="A419" s="268"/>
      <c r="B419" s="268"/>
      <c r="C419" s="301"/>
      <c r="D419" s="311"/>
      <c r="E419" s="268"/>
      <c r="F419" s="257"/>
      <c r="G419" s="257"/>
    </row>
    <row r="420" spans="1:7" x14ac:dyDescent="0.35">
      <c r="A420" s="268"/>
      <c r="B420" s="268"/>
      <c r="C420" s="301"/>
      <c r="D420" s="311"/>
      <c r="E420" s="268"/>
      <c r="F420" s="257"/>
      <c r="G420" s="257"/>
    </row>
    <row r="421" spans="1:7" x14ac:dyDescent="0.35">
      <c r="A421" s="268"/>
      <c r="B421" s="268"/>
      <c r="C421" s="301"/>
      <c r="D421" s="311"/>
      <c r="E421" s="268"/>
      <c r="F421" s="257"/>
      <c r="G421" s="257"/>
    </row>
    <row r="422" spans="1:7" x14ac:dyDescent="0.35">
      <c r="A422" s="268"/>
      <c r="B422" s="313"/>
      <c r="C422" s="301"/>
      <c r="D422" s="311"/>
      <c r="E422" s="268"/>
      <c r="F422" s="256"/>
      <c r="G422" s="256"/>
    </row>
    <row r="423" spans="1:7" x14ac:dyDescent="0.35">
      <c r="A423" s="268"/>
      <c r="B423" s="297"/>
      <c r="C423" s="301"/>
      <c r="D423" s="311"/>
      <c r="E423" s="268"/>
      <c r="F423" s="257"/>
      <c r="G423" s="257"/>
    </row>
    <row r="424" spans="1:7" x14ac:dyDescent="0.35">
      <c r="A424" s="268"/>
      <c r="B424" s="297"/>
      <c r="C424" s="301"/>
      <c r="D424" s="311"/>
      <c r="E424" s="268"/>
      <c r="F424" s="257"/>
      <c r="G424" s="257"/>
    </row>
    <row r="425" spans="1:7" x14ac:dyDescent="0.35">
      <c r="A425" s="268"/>
      <c r="B425" s="297"/>
      <c r="C425" s="301"/>
      <c r="D425" s="311"/>
      <c r="E425" s="268"/>
      <c r="F425" s="257"/>
      <c r="G425" s="257"/>
    </row>
    <row r="426" spans="1:7" x14ac:dyDescent="0.35">
      <c r="A426" s="268"/>
      <c r="B426" s="297"/>
      <c r="C426" s="301"/>
      <c r="D426" s="311"/>
      <c r="E426" s="268"/>
      <c r="F426" s="257"/>
      <c r="G426" s="257"/>
    </row>
    <row r="427" spans="1:7" x14ac:dyDescent="0.35">
      <c r="A427" s="268"/>
      <c r="B427" s="297"/>
      <c r="C427" s="301"/>
      <c r="D427" s="311"/>
      <c r="E427" s="268"/>
      <c r="F427" s="257"/>
      <c r="G427" s="257"/>
    </row>
    <row r="428" spans="1:7" x14ac:dyDescent="0.35">
      <c r="A428" s="268"/>
      <c r="B428" s="297"/>
      <c r="C428" s="301"/>
      <c r="D428" s="311"/>
      <c r="E428" s="268"/>
      <c r="F428" s="257"/>
      <c r="G428" s="257"/>
    </row>
    <row r="429" spans="1:7" x14ac:dyDescent="0.35">
      <c r="A429" s="268"/>
      <c r="B429" s="297"/>
      <c r="C429" s="268"/>
      <c r="D429" s="268"/>
      <c r="E429" s="268"/>
      <c r="F429" s="317"/>
      <c r="G429" s="317"/>
    </row>
    <row r="430" spans="1:7" x14ac:dyDescent="0.35">
      <c r="A430" s="268"/>
      <c r="B430" s="297"/>
      <c r="C430" s="268"/>
      <c r="D430" s="268"/>
      <c r="E430" s="268"/>
      <c r="F430" s="317"/>
      <c r="G430" s="317"/>
    </row>
    <row r="431" spans="1:7" x14ac:dyDescent="0.35">
      <c r="A431" s="268"/>
      <c r="B431" s="297"/>
      <c r="C431" s="268"/>
      <c r="D431" s="268"/>
      <c r="E431" s="268"/>
      <c r="F431" s="312"/>
      <c r="G431" s="312"/>
    </row>
    <row r="432" spans="1:7" x14ac:dyDescent="0.35">
      <c r="A432" s="291"/>
      <c r="B432" s="291"/>
      <c r="C432" s="291"/>
      <c r="D432" s="291"/>
      <c r="E432" s="291"/>
      <c r="F432" s="291"/>
      <c r="G432" s="291"/>
    </row>
    <row r="433" spans="1:7" x14ac:dyDescent="0.35">
      <c r="A433" s="268"/>
      <c r="B433" s="268"/>
      <c r="C433" s="256"/>
      <c r="D433" s="268"/>
      <c r="E433" s="268"/>
      <c r="F433" s="268"/>
      <c r="G433" s="268"/>
    </row>
    <row r="434" spans="1:7" x14ac:dyDescent="0.35">
      <c r="A434" s="268"/>
      <c r="B434" s="268"/>
      <c r="C434" s="268"/>
      <c r="D434" s="268"/>
      <c r="E434" s="268"/>
      <c r="F434" s="268"/>
      <c r="G434" s="268"/>
    </row>
    <row r="435" spans="1:7" x14ac:dyDescent="0.35">
      <c r="A435" s="268"/>
      <c r="B435" s="270"/>
      <c r="C435" s="268"/>
      <c r="D435" s="268"/>
      <c r="E435" s="268"/>
      <c r="F435" s="268"/>
      <c r="G435" s="268"/>
    </row>
    <row r="436" spans="1:7" x14ac:dyDescent="0.35">
      <c r="A436" s="268"/>
      <c r="B436" s="268"/>
      <c r="C436" s="301"/>
      <c r="D436" s="311"/>
      <c r="E436" s="268"/>
      <c r="F436" s="257"/>
      <c r="G436" s="257"/>
    </row>
    <row r="437" spans="1:7" x14ac:dyDescent="0.35">
      <c r="A437" s="268"/>
      <c r="B437" s="268"/>
      <c r="C437" s="301"/>
      <c r="D437" s="311"/>
      <c r="E437" s="268"/>
      <c r="F437" s="257"/>
      <c r="G437" s="257"/>
    </row>
    <row r="438" spans="1:7" x14ac:dyDescent="0.35">
      <c r="A438" s="268"/>
      <c r="B438" s="268"/>
      <c r="C438" s="301"/>
      <c r="D438" s="311"/>
      <c r="E438" s="268"/>
      <c r="F438" s="257"/>
      <c r="G438" s="257"/>
    </row>
    <row r="439" spans="1:7" x14ac:dyDescent="0.35">
      <c r="A439" s="268"/>
      <c r="B439" s="268"/>
      <c r="C439" s="301"/>
      <c r="D439" s="311"/>
      <c r="E439" s="268"/>
      <c r="F439" s="257"/>
      <c r="G439" s="257"/>
    </row>
    <row r="440" spans="1:7" x14ac:dyDescent="0.35">
      <c r="A440" s="268"/>
      <c r="B440" s="268"/>
      <c r="C440" s="301"/>
      <c r="D440" s="311"/>
      <c r="E440" s="268"/>
      <c r="F440" s="257"/>
      <c r="G440" s="257"/>
    </row>
    <row r="441" spans="1:7" x14ac:dyDescent="0.35">
      <c r="A441" s="268"/>
      <c r="B441" s="268"/>
      <c r="C441" s="301"/>
      <c r="D441" s="311"/>
      <c r="E441" s="268"/>
      <c r="F441" s="257"/>
      <c r="G441" s="257"/>
    </row>
    <row r="442" spans="1:7" x14ac:dyDescent="0.35">
      <c r="A442" s="268"/>
      <c r="B442" s="268"/>
      <c r="C442" s="301"/>
      <c r="D442" s="311"/>
      <c r="E442" s="268"/>
      <c r="F442" s="257"/>
      <c r="G442" s="257"/>
    </row>
    <row r="443" spans="1:7" x14ac:dyDescent="0.35">
      <c r="A443" s="268"/>
      <c r="B443" s="268"/>
      <c r="C443" s="301"/>
      <c r="D443" s="311"/>
      <c r="E443" s="268"/>
      <c r="F443" s="257"/>
      <c r="G443" s="257"/>
    </row>
    <row r="444" spans="1:7" x14ac:dyDescent="0.35">
      <c r="A444" s="268"/>
      <c r="B444" s="313"/>
      <c r="C444" s="301"/>
      <c r="D444" s="311"/>
      <c r="E444" s="268"/>
      <c r="F444" s="256"/>
      <c r="G444" s="256"/>
    </row>
    <row r="445" spans="1:7" x14ac:dyDescent="0.35">
      <c r="A445" s="268"/>
      <c r="B445" s="297"/>
      <c r="C445" s="301"/>
      <c r="D445" s="311"/>
      <c r="E445" s="268"/>
      <c r="F445" s="257"/>
      <c r="G445" s="257"/>
    </row>
    <row r="446" spans="1:7" x14ac:dyDescent="0.35">
      <c r="A446" s="268"/>
      <c r="B446" s="297"/>
      <c r="C446" s="301"/>
      <c r="D446" s="311"/>
      <c r="E446" s="268"/>
      <c r="F446" s="257"/>
      <c r="G446" s="257"/>
    </row>
    <row r="447" spans="1:7" x14ac:dyDescent="0.35">
      <c r="A447" s="268"/>
      <c r="B447" s="297"/>
      <c r="C447" s="301"/>
      <c r="D447" s="311"/>
      <c r="E447" s="268"/>
      <c r="F447" s="257"/>
      <c r="G447" s="257"/>
    </row>
    <row r="448" spans="1:7" x14ac:dyDescent="0.35">
      <c r="A448" s="268"/>
      <c r="B448" s="297"/>
      <c r="C448" s="301"/>
      <c r="D448" s="311"/>
      <c r="E448" s="268"/>
      <c r="F448" s="257"/>
      <c r="G448" s="257"/>
    </row>
    <row r="449" spans="1:7" x14ac:dyDescent="0.35">
      <c r="A449" s="268"/>
      <c r="B449" s="297"/>
      <c r="C449" s="301"/>
      <c r="D449" s="311"/>
      <c r="E449" s="268"/>
      <c r="F449" s="257"/>
      <c r="G449" s="257"/>
    </row>
    <row r="450" spans="1:7" x14ac:dyDescent="0.35">
      <c r="A450" s="268"/>
      <c r="B450" s="297"/>
      <c r="C450" s="301"/>
      <c r="D450" s="311"/>
      <c r="E450" s="268"/>
      <c r="F450" s="257"/>
      <c r="G450" s="257"/>
    </row>
    <row r="451" spans="1:7" x14ac:dyDescent="0.35">
      <c r="A451" s="268"/>
      <c r="B451" s="297"/>
      <c r="C451" s="268"/>
      <c r="D451" s="268"/>
      <c r="E451" s="268"/>
      <c r="F451" s="257"/>
      <c r="G451" s="257"/>
    </row>
    <row r="452" spans="1:7" x14ac:dyDescent="0.35">
      <c r="A452" s="268"/>
      <c r="B452" s="297"/>
      <c r="C452" s="268"/>
      <c r="D452" s="268"/>
      <c r="E452" s="268"/>
      <c r="F452" s="257"/>
      <c r="G452" s="257"/>
    </row>
    <row r="453" spans="1:7" x14ac:dyDescent="0.35">
      <c r="A453" s="268"/>
      <c r="B453" s="297"/>
      <c r="C453" s="268"/>
      <c r="D453" s="268"/>
      <c r="E453" s="268"/>
      <c r="F453" s="257"/>
      <c r="G453" s="256"/>
    </row>
    <row r="454" spans="1:7" x14ac:dyDescent="0.35">
      <c r="A454" s="291"/>
      <c r="B454" s="291"/>
      <c r="C454" s="291"/>
      <c r="D454" s="291"/>
      <c r="E454" s="291"/>
      <c r="F454" s="291"/>
      <c r="G454" s="291"/>
    </row>
    <row r="455" spans="1:7" x14ac:dyDescent="0.35">
      <c r="A455" s="268"/>
      <c r="B455" s="270"/>
      <c r="C455" s="256"/>
      <c r="D455" s="256"/>
      <c r="E455" s="268"/>
      <c r="F455" s="268"/>
      <c r="G455" s="268"/>
    </row>
    <row r="456" spans="1:7" x14ac:dyDescent="0.35">
      <c r="A456" s="268"/>
      <c r="B456" s="270"/>
      <c r="C456" s="256"/>
      <c r="D456" s="256"/>
      <c r="E456" s="268"/>
      <c r="F456" s="268"/>
      <c r="G456" s="268"/>
    </row>
    <row r="457" spans="1:7" x14ac:dyDescent="0.35">
      <c r="A457" s="268"/>
      <c r="B457" s="270"/>
      <c r="C457" s="256"/>
      <c r="D457" s="256"/>
      <c r="E457" s="268"/>
      <c r="F457" s="268"/>
      <c r="G457" s="268"/>
    </row>
    <row r="458" spans="1:7" x14ac:dyDescent="0.35">
      <c r="A458" s="268"/>
      <c r="B458" s="270"/>
      <c r="C458" s="256"/>
      <c r="D458" s="256"/>
      <c r="E458" s="268"/>
      <c r="F458" s="268"/>
      <c r="G458" s="268"/>
    </row>
    <row r="459" spans="1:7" x14ac:dyDescent="0.35">
      <c r="A459" s="268"/>
      <c r="B459" s="270"/>
      <c r="C459" s="256"/>
      <c r="D459" s="256"/>
      <c r="E459" s="268"/>
      <c r="F459" s="268"/>
      <c r="G459" s="268"/>
    </row>
    <row r="460" spans="1:7" x14ac:dyDescent="0.35">
      <c r="A460" s="268"/>
      <c r="B460" s="270"/>
      <c r="C460" s="256"/>
      <c r="D460" s="256"/>
      <c r="E460" s="268"/>
      <c r="F460" s="268"/>
      <c r="G460" s="268"/>
    </row>
    <row r="461" spans="1:7" x14ac:dyDescent="0.35">
      <c r="A461" s="268"/>
      <c r="B461" s="270"/>
      <c r="C461" s="256"/>
      <c r="D461" s="256"/>
      <c r="E461" s="268"/>
      <c r="F461" s="268"/>
      <c r="G461" s="268"/>
    </row>
    <row r="462" spans="1:7" x14ac:dyDescent="0.35">
      <c r="A462" s="268"/>
      <c r="B462" s="270"/>
      <c r="C462" s="256"/>
      <c r="D462" s="256"/>
      <c r="E462" s="268"/>
      <c r="F462" s="268"/>
      <c r="G462" s="268"/>
    </row>
    <row r="463" spans="1:7" x14ac:dyDescent="0.35">
      <c r="A463" s="268"/>
      <c r="B463" s="270"/>
      <c r="C463" s="256"/>
      <c r="D463" s="256"/>
      <c r="E463" s="268"/>
      <c r="F463" s="268"/>
      <c r="G463" s="268"/>
    </row>
    <row r="464" spans="1:7" x14ac:dyDescent="0.35">
      <c r="A464" s="268"/>
      <c r="B464" s="270"/>
      <c r="C464" s="256"/>
      <c r="D464" s="256"/>
      <c r="E464" s="268"/>
      <c r="F464" s="268"/>
      <c r="G464" s="268"/>
    </row>
    <row r="465" spans="1:7" x14ac:dyDescent="0.35">
      <c r="A465" s="268"/>
      <c r="B465" s="297"/>
      <c r="C465" s="256"/>
      <c r="D465" s="268"/>
      <c r="E465" s="268"/>
      <c r="F465" s="268"/>
      <c r="G465" s="268"/>
    </row>
    <row r="466" spans="1:7" x14ac:dyDescent="0.35">
      <c r="A466" s="268"/>
      <c r="B466" s="297"/>
      <c r="C466" s="256"/>
      <c r="D466" s="268"/>
      <c r="E466" s="268"/>
      <c r="F466" s="268"/>
      <c r="G466" s="268"/>
    </row>
    <row r="467" spans="1:7" x14ac:dyDescent="0.35">
      <c r="A467" s="268"/>
      <c r="B467" s="297"/>
      <c r="C467" s="256"/>
      <c r="D467" s="268"/>
      <c r="E467" s="268"/>
      <c r="F467" s="268"/>
      <c r="G467" s="268"/>
    </row>
    <row r="468" spans="1:7" x14ac:dyDescent="0.35">
      <c r="A468" s="268"/>
      <c r="B468" s="297"/>
      <c r="C468" s="256"/>
      <c r="D468" s="268"/>
      <c r="E468" s="268"/>
      <c r="F468" s="268"/>
      <c r="G468" s="268"/>
    </row>
    <row r="469" spans="1:7" x14ac:dyDescent="0.35">
      <c r="A469" s="268"/>
      <c r="B469" s="297"/>
      <c r="C469" s="256"/>
      <c r="D469" s="268"/>
      <c r="E469" s="268"/>
      <c r="F469" s="268"/>
      <c r="G469" s="268"/>
    </row>
    <row r="470" spans="1:7" x14ac:dyDescent="0.35">
      <c r="A470" s="268"/>
      <c r="B470" s="297"/>
      <c r="C470" s="256"/>
      <c r="D470" s="268"/>
      <c r="E470" s="268"/>
      <c r="F470" s="268"/>
      <c r="G470" s="268"/>
    </row>
    <row r="471" spans="1:7" x14ac:dyDescent="0.35">
      <c r="A471" s="268"/>
      <c r="B471" s="297"/>
      <c r="C471" s="256"/>
      <c r="D471" s="268"/>
      <c r="E471" s="268"/>
      <c r="F471" s="268"/>
      <c r="G471" s="268"/>
    </row>
    <row r="472" spans="1:7" x14ac:dyDescent="0.35">
      <c r="A472" s="268"/>
      <c r="B472" s="297"/>
      <c r="C472" s="256"/>
      <c r="D472" s="268"/>
      <c r="E472" s="268"/>
      <c r="F472" s="268"/>
      <c r="G472" s="268"/>
    </row>
    <row r="473" spans="1:7" x14ac:dyDescent="0.35">
      <c r="A473" s="268"/>
      <c r="B473" s="297"/>
      <c r="C473" s="256"/>
      <c r="D473" s="268"/>
      <c r="E473" s="268"/>
      <c r="F473" s="268"/>
      <c r="G473" s="268"/>
    </row>
    <row r="474" spans="1:7" x14ac:dyDescent="0.35">
      <c r="A474" s="268"/>
      <c r="B474" s="297"/>
      <c r="C474" s="256"/>
      <c r="D474" s="268"/>
      <c r="E474" s="268"/>
      <c r="F474" s="268"/>
      <c r="G474" s="268"/>
    </row>
    <row r="475" spans="1:7" x14ac:dyDescent="0.35">
      <c r="A475" s="268"/>
      <c r="B475" s="297"/>
      <c r="C475" s="256"/>
      <c r="D475" s="268"/>
      <c r="E475" s="268"/>
      <c r="F475" s="268"/>
      <c r="G475" s="268"/>
    </row>
    <row r="476" spans="1:7" x14ac:dyDescent="0.35">
      <c r="A476" s="268"/>
      <c r="B476" s="297"/>
      <c r="C476" s="256"/>
      <c r="D476" s="268"/>
      <c r="E476" s="268"/>
      <c r="F476" s="268"/>
      <c r="G476" s="267"/>
    </row>
    <row r="477" spans="1:7" x14ac:dyDescent="0.35">
      <c r="A477" s="268"/>
      <c r="B477" s="297"/>
      <c r="C477" s="256"/>
      <c r="D477" s="268"/>
      <c r="E477" s="268"/>
      <c r="F477" s="268"/>
      <c r="G477" s="267"/>
    </row>
    <row r="478" spans="1:7" x14ac:dyDescent="0.35">
      <c r="A478" s="268"/>
      <c r="B478" s="297"/>
      <c r="C478" s="256"/>
      <c r="D478" s="268"/>
      <c r="E478" s="268"/>
      <c r="F478" s="268"/>
      <c r="G478" s="267"/>
    </row>
    <row r="479" spans="1:7" x14ac:dyDescent="0.35">
      <c r="A479" s="268"/>
      <c r="B479" s="297"/>
      <c r="C479" s="256"/>
      <c r="D479" s="319"/>
      <c r="E479" s="319"/>
      <c r="F479" s="319"/>
      <c r="G479" s="319"/>
    </row>
    <row r="480" spans="1:7" x14ac:dyDescent="0.35">
      <c r="A480" s="268"/>
      <c r="B480" s="297"/>
      <c r="C480" s="256"/>
      <c r="D480" s="319"/>
      <c r="E480" s="319"/>
      <c r="F480" s="319"/>
      <c r="G480" s="319"/>
    </row>
    <row r="481" spans="1:7" x14ac:dyDescent="0.35">
      <c r="A481" s="268"/>
      <c r="B481" s="297"/>
      <c r="C481" s="256"/>
      <c r="D481" s="319"/>
      <c r="E481" s="319"/>
      <c r="F481" s="319"/>
      <c r="G481" s="319"/>
    </row>
    <row r="482" spans="1:7" x14ac:dyDescent="0.35">
      <c r="A482" s="291"/>
      <c r="B482" s="291"/>
      <c r="C482" s="291"/>
      <c r="D482" s="291"/>
      <c r="E482" s="291"/>
      <c r="F482" s="291"/>
      <c r="G482" s="291"/>
    </row>
    <row r="483" spans="1:7" x14ac:dyDescent="0.35">
      <c r="A483" s="268"/>
      <c r="B483" s="270"/>
      <c r="C483" s="268"/>
      <c r="D483" s="268"/>
      <c r="E483" s="271"/>
      <c r="F483" s="257"/>
      <c r="G483" s="257"/>
    </row>
    <row r="484" spans="1:7" x14ac:dyDescent="0.35">
      <c r="A484" s="268"/>
      <c r="B484" s="270"/>
      <c r="C484" s="268"/>
      <c r="D484" s="268"/>
      <c r="E484" s="271"/>
      <c r="F484" s="257"/>
      <c r="G484" s="257"/>
    </row>
    <row r="485" spans="1:7" x14ac:dyDescent="0.35">
      <c r="A485" s="268"/>
      <c r="B485" s="270"/>
      <c r="C485" s="268"/>
      <c r="D485" s="268"/>
      <c r="E485" s="271"/>
      <c r="F485" s="257"/>
      <c r="G485" s="257"/>
    </row>
    <row r="486" spans="1:7" x14ac:dyDescent="0.35">
      <c r="A486" s="268"/>
      <c r="B486" s="270"/>
      <c r="C486" s="268"/>
      <c r="D486" s="268"/>
      <c r="E486" s="271"/>
      <c r="F486" s="257"/>
      <c r="G486" s="257"/>
    </row>
    <row r="487" spans="1:7" x14ac:dyDescent="0.35">
      <c r="A487" s="268"/>
      <c r="B487" s="270"/>
      <c r="C487" s="268"/>
      <c r="D487" s="268"/>
      <c r="E487" s="271"/>
      <c r="F487" s="257"/>
      <c r="G487" s="257"/>
    </row>
    <row r="488" spans="1:7" x14ac:dyDescent="0.35">
      <c r="A488" s="268"/>
      <c r="B488" s="270"/>
      <c r="C488" s="268"/>
      <c r="D488" s="268"/>
      <c r="E488" s="271"/>
      <c r="F488" s="257"/>
      <c r="G488" s="257"/>
    </row>
    <row r="489" spans="1:7" x14ac:dyDescent="0.35">
      <c r="A489" s="268"/>
      <c r="B489" s="270"/>
      <c r="C489" s="268"/>
      <c r="D489" s="268"/>
      <c r="E489" s="271"/>
      <c r="F489" s="257"/>
      <c r="G489" s="257"/>
    </row>
    <row r="490" spans="1:7" x14ac:dyDescent="0.35">
      <c r="A490" s="268"/>
      <c r="B490" s="270"/>
      <c r="C490" s="268"/>
      <c r="D490" s="268"/>
      <c r="E490" s="271"/>
      <c r="F490" s="257"/>
      <c r="G490" s="257"/>
    </row>
    <row r="491" spans="1:7" x14ac:dyDescent="0.35">
      <c r="A491" s="268"/>
      <c r="B491" s="270"/>
      <c r="C491" s="268"/>
      <c r="D491" s="268"/>
      <c r="E491" s="271"/>
      <c r="F491" s="257"/>
      <c r="G491" s="257"/>
    </row>
    <row r="492" spans="1:7" x14ac:dyDescent="0.35">
      <c r="A492" s="268"/>
      <c r="B492" s="270"/>
      <c r="C492" s="268"/>
      <c r="D492" s="268"/>
      <c r="E492" s="271"/>
      <c r="F492" s="257"/>
      <c r="G492" s="257"/>
    </row>
    <row r="493" spans="1:7" x14ac:dyDescent="0.35">
      <c r="A493" s="268"/>
      <c r="B493" s="270"/>
      <c r="C493" s="268"/>
      <c r="D493" s="268"/>
      <c r="E493" s="271"/>
      <c r="F493" s="257"/>
      <c r="G493" s="257"/>
    </row>
    <row r="494" spans="1:7" x14ac:dyDescent="0.35">
      <c r="A494" s="268"/>
      <c r="B494" s="270"/>
      <c r="C494" s="268"/>
      <c r="D494" s="268"/>
      <c r="E494" s="271"/>
      <c r="F494" s="257"/>
      <c r="G494" s="257"/>
    </row>
    <row r="495" spans="1:7" x14ac:dyDescent="0.35">
      <c r="A495" s="268"/>
      <c r="B495" s="270"/>
      <c r="C495" s="268"/>
      <c r="D495" s="268"/>
      <c r="E495" s="271"/>
      <c r="F495" s="257"/>
      <c r="G495" s="257"/>
    </row>
    <row r="496" spans="1:7" x14ac:dyDescent="0.35">
      <c r="A496" s="268"/>
      <c r="B496" s="270"/>
      <c r="C496" s="268"/>
      <c r="D496" s="268"/>
      <c r="E496" s="271"/>
      <c r="F496" s="257"/>
      <c r="G496" s="257"/>
    </row>
    <row r="497" spans="1:7" x14ac:dyDescent="0.35">
      <c r="A497" s="268"/>
      <c r="B497" s="270"/>
      <c r="C497" s="268"/>
      <c r="D497" s="268"/>
      <c r="E497" s="271"/>
      <c r="F497" s="257"/>
      <c r="G497" s="257"/>
    </row>
    <row r="498" spans="1:7" x14ac:dyDescent="0.35">
      <c r="A498" s="268"/>
      <c r="B498" s="270"/>
      <c r="C498" s="268"/>
      <c r="D498" s="268"/>
      <c r="E498" s="271"/>
      <c r="F498" s="257"/>
      <c r="G498" s="257"/>
    </row>
    <row r="499" spans="1:7" x14ac:dyDescent="0.35">
      <c r="A499" s="268"/>
      <c r="B499" s="270"/>
      <c r="C499" s="268"/>
      <c r="D499" s="268"/>
      <c r="E499" s="271"/>
      <c r="F499" s="257"/>
      <c r="G499" s="257"/>
    </row>
    <row r="500" spans="1:7" x14ac:dyDescent="0.35">
      <c r="A500" s="268"/>
      <c r="B500" s="270"/>
      <c r="C500" s="268"/>
      <c r="D500" s="268"/>
      <c r="E500" s="271"/>
      <c r="F500" s="257"/>
      <c r="G500" s="257"/>
    </row>
    <row r="501" spans="1:7" x14ac:dyDescent="0.35">
      <c r="A501" s="268"/>
      <c r="B501" s="270"/>
      <c r="C501" s="268"/>
      <c r="D501" s="268"/>
      <c r="E501" s="271"/>
      <c r="F501" s="271"/>
      <c r="G501" s="271"/>
    </row>
    <row r="502" spans="1:7" x14ac:dyDescent="0.35">
      <c r="A502" s="268"/>
      <c r="B502" s="270"/>
      <c r="C502" s="268"/>
      <c r="D502" s="268"/>
      <c r="E502" s="271"/>
      <c r="F502" s="271"/>
      <c r="G502" s="271"/>
    </row>
    <row r="503" spans="1:7" x14ac:dyDescent="0.35">
      <c r="A503" s="268"/>
      <c r="B503" s="270"/>
      <c r="C503" s="268"/>
      <c r="D503" s="268"/>
      <c r="E503" s="271"/>
      <c r="F503" s="271"/>
      <c r="G503" s="271"/>
    </row>
    <row r="504" spans="1:7" x14ac:dyDescent="0.35">
      <c r="A504" s="268"/>
      <c r="B504" s="270"/>
      <c r="C504" s="268"/>
      <c r="D504" s="268"/>
      <c r="E504" s="271"/>
      <c r="F504" s="271"/>
      <c r="G504" s="271"/>
    </row>
    <row r="505" spans="1:7" x14ac:dyDescent="0.35">
      <c r="A505" s="291"/>
      <c r="B505" s="291"/>
      <c r="C505" s="291"/>
      <c r="D505" s="291"/>
      <c r="E505" s="291"/>
      <c r="F505" s="291"/>
      <c r="G505" s="291"/>
    </row>
    <row r="506" spans="1:7" x14ac:dyDescent="0.35">
      <c r="A506" s="268"/>
      <c r="B506" s="270"/>
      <c r="C506" s="268"/>
      <c r="D506" s="268"/>
      <c r="E506" s="271"/>
      <c r="F506" s="257"/>
      <c r="G506" s="257"/>
    </row>
    <row r="507" spans="1:7" x14ac:dyDescent="0.35">
      <c r="A507" s="268"/>
      <c r="B507" s="270"/>
      <c r="C507" s="268"/>
      <c r="D507" s="268"/>
      <c r="E507" s="271"/>
      <c r="F507" s="257"/>
      <c r="G507" s="257"/>
    </row>
    <row r="508" spans="1:7" x14ac:dyDescent="0.35">
      <c r="A508" s="268"/>
      <c r="B508" s="270"/>
      <c r="C508" s="268"/>
      <c r="D508" s="268"/>
      <c r="E508" s="271"/>
      <c r="F508" s="257"/>
      <c r="G508" s="257"/>
    </row>
    <row r="509" spans="1:7" x14ac:dyDescent="0.35">
      <c r="A509" s="268"/>
      <c r="B509" s="270"/>
      <c r="C509" s="268"/>
      <c r="D509" s="268"/>
      <c r="E509" s="271"/>
      <c r="F509" s="257"/>
      <c r="G509" s="257"/>
    </row>
    <row r="510" spans="1:7" x14ac:dyDescent="0.35">
      <c r="A510" s="268"/>
      <c r="B510" s="270"/>
      <c r="C510" s="268"/>
      <c r="D510" s="268"/>
      <c r="E510" s="271"/>
      <c r="F510" s="257"/>
      <c r="G510" s="257"/>
    </row>
    <row r="511" spans="1:7" x14ac:dyDescent="0.35">
      <c r="A511" s="268"/>
      <c r="B511" s="270"/>
      <c r="C511" s="268"/>
      <c r="D511" s="268"/>
      <c r="E511" s="271"/>
      <c r="F511" s="257"/>
      <c r="G511" s="257"/>
    </row>
    <row r="512" spans="1:7" x14ac:dyDescent="0.35">
      <c r="A512" s="268"/>
      <c r="B512" s="270"/>
      <c r="C512" s="268"/>
      <c r="D512" s="268"/>
      <c r="E512" s="271"/>
      <c r="F512" s="257"/>
      <c r="G512" s="257"/>
    </row>
    <row r="513" spans="1:7" x14ac:dyDescent="0.35">
      <c r="A513" s="268"/>
      <c r="B513" s="270"/>
      <c r="C513" s="268"/>
      <c r="D513" s="268"/>
      <c r="E513" s="271"/>
      <c r="F513" s="257"/>
      <c r="G513" s="257"/>
    </row>
    <row r="514" spans="1:7" x14ac:dyDescent="0.35">
      <c r="A514" s="268"/>
      <c r="B514" s="270"/>
      <c r="C514" s="268"/>
      <c r="D514" s="268"/>
      <c r="E514" s="271"/>
      <c r="F514" s="257"/>
      <c r="G514" s="257"/>
    </row>
    <row r="515" spans="1:7" x14ac:dyDescent="0.3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F00-000000000000}"/>
    <hyperlink ref="G5" r:id="rId2" xr:uid="{00000000-0004-0000-0F00-000001000000}"/>
    <hyperlink ref="B8:C8" location="'Temp. Optional COVID 19 impact'!B14" display="1.  Share of assets affected by payment holidays caused by COVID 19" xr:uid="{00000000-0004-0000-0F00-000002000000}"/>
    <hyperlink ref="B9:C9" location="'Temp. Optional COVID 19 impact'!B19" display="2. Additional information on the cover pool section affected by payment holidays" xr:uid="{00000000-0004-0000-0F00-000003000000}"/>
  </hyperlinks>
  <pageMargins left="0.70866141732283472" right="0.70866141732283472" top="0.74803149606299213" bottom="0.74803149606299213" header="0.31496062992125984" footer="0.31496062992125984"/>
  <pageSetup paperSize="9" scale="50" orientation="landscape" r:id="rId3"/>
  <headerFooter>
    <oddHeader>&amp;R&amp;G</oddHeader>
    <oddFooter>&amp;C&amp;1#&amp;"Calibri"&amp;10&amp;K000000INTERNE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defaultColWidth="9.1796875" defaultRowHeight="14.5" x14ac:dyDescent="0.35"/>
  <sheetData/>
  <pageMargins left="0.7" right="0.7" top="0.75" bottom="0.75" header="0.3" footer="0.3"/>
  <pageSetup paperSize="9" orientation="portrait" r:id="rId1"/>
  <headerFooter>
    <oddFooter>&amp;C&amp;1#&amp;"Calibri"&amp;10&amp;K000000INTERNE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zoomScale="80" zoomScaleNormal="80" workbookViewId="0"/>
  </sheetViews>
  <sheetFormatPr defaultColWidth="9.1796875" defaultRowHeight="14.5" x14ac:dyDescent="0.35"/>
  <sheetData/>
  <pageMargins left="0.7" right="0.7" top="0.75" bottom="0.75" header="0.3" footer="0.3"/>
  <pageSetup paperSize="9" orientation="portrait" r:id="rId1"/>
  <headerFooter>
    <oddFooter>&amp;C&amp;1#&amp;"Calibri"&amp;10&amp;K000000INTERNE</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sheetPr>
  <dimension ref="A1:L223"/>
  <sheetViews>
    <sheetView workbookViewId="0">
      <pane ySplit="4" topLeftCell="A197" activePane="bottomLeft" state="frozen"/>
      <selection pane="bottomLeft" activeCell="C205" sqref="C205"/>
    </sheetView>
  </sheetViews>
  <sheetFormatPr defaultColWidth="11.453125" defaultRowHeight="14.5" x14ac:dyDescent="0.35"/>
  <cols>
    <col min="1" max="1" width="72.54296875" style="361" bestFit="1" customWidth="1"/>
    <col min="2" max="2" width="85.54296875" style="361" bestFit="1" customWidth="1"/>
    <col min="3" max="3" width="19.26953125" style="361" customWidth="1"/>
    <col min="4" max="5" width="11.453125" style="361"/>
    <col min="6" max="6" width="40.26953125" style="361" bestFit="1" customWidth="1"/>
    <col min="7" max="16384" width="11.453125" style="361"/>
  </cols>
  <sheetData>
    <row r="1" spans="1:3" x14ac:dyDescent="0.35">
      <c r="A1" s="397" t="s">
        <v>2789</v>
      </c>
    </row>
    <row r="2" spans="1:3" x14ac:dyDescent="0.35">
      <c r="A2" s="361" t="s">
        <v>2790</v>
      </c>
      <c r="B2" s="361">
        <f>COUNTA(A5:A440)</f>
        <v>186</v>
      </c>
    </row>
    <row r="3" spans="1:3" ht="15" thickBot="1" x14ac:dyDescent="0.4">
      <c r="A3" s="397"/>
    </row>
    <row r="4" spans="1:3" ht="54.75" customHeight="1" x14ac:dyDescent="0.35">
      <c r="A4" s="398" t="s">
        <v>2791</v>
      </c>
      <c r="B4" s="399" t="s">
        <v>2792</v>
      </c>
      <c r="C4" s="400" t="s">
        <v>2793</v>
      </c>
    </row>
    <row r="5" spans="1:3" x14ac:dyDescent="0.35">
      <c r="A5" s="401" t="s">
        <v>2794</v>
      </c>
      <c r="B5" s="402" t="s">
        <v>2795</v>
      </c>
      <c r="C5" s="403">
        <v>45291</v>
      </c>
    </row>
    <row r="6" spans="1:3" x14ac:dyDescent="0.35">
      <c r="A6" s="401"/>
      <c r="B6" s="402"/>
      <c r="C6" s="404"/>
    </row>
    <row r="7" spans="1:3" x14ac:dyDescent="0.35">
      <c r="A7" s="401" t="s">
        <v>2796</v>
      </c>
      <c r="B7" s="402" t="s">
        <v>2797</v>
      </c>
      <c r="C7" s="405">
        <v>43053</v>
      </c>
    </row>
    <row r="8" spans="1:3" x14ac:dyDescent="0.35">
      <c r="A8" s="401" t="s">
        <v>2798</v>
      </c>
      <c r="B8" s="402" t="s">
        <v>2799</v>
      </c>
      <c r="C8" s="406">
        <v>5832150309.54</v>
      </c>
    </row>
    <row r="9" spans="1:3" x14ac:dyDescent="0.35">
      <c r="A9" s="401"/>
      <c r="B9" s="402"/>
      <c r="C9" s="404"/>
    </row>
    <row r="10" spans="1:3" x14ac:dyDescent="0.35">
      <c r="A10" s="401" t="s">
        <v>2800</v>
      </c>
      <c r="B10" s="402" t="str">
        <f>CONCATENATE("La somme des CRD des prêts dans sélection pour la région ",SUBSTITUTE(A10,"CRD_PRETS_REGION_",""),".")</f>
        <v>La somme des CRD des prêts dans sélection pour la région ALSACE.</v>
      </c>
      <c r="C10" s="406">
        <v>56220454.710000001</v>
      </c>
    </row>
    <row r="11" spans="1:3" x14ac:dyDescent="0.35">
      <c r="A11" s="401" t="s">
        <v>2801</v>
      </c>
      <c r="B11" s="402" t="str">
        <f t="shared" ref="B11:B31" si="0">CONCATENATE("La somme des CRD des prêts dans sélection pour la région ",SUBSTITUTE(A11,"CRD_PRETS_REGION_",""),".")</f>
        <v>La somme des CRD des prêts dans sélection pour la région AQUITAINE.</v>
      </c>
      <c r="C11" s="406">
        <v>273310225.74000001</v>
      </c>
    </row>
    <row r="12" spans="1:3" x14ac:dyDescent="0.35">
      <c r="A12" s="401" t="s">
        <v>2802</v>
      </c>
      <c r="B12" s="402" t="str">
        <f t="shared" si="0"/>
        <v>La somme des CRD des prêts dans sélection pour la région AUVERGNE.</v>
      </c>
      <c r="C12" s="406">
        <v>17934419.559999999</v>
      </c>
    </row>
    <row r="13" spans="1:3" x14ac:dyDescent="0.35">
      <c r="A13" s="401" t="s">
        <v>2803</v>
      </c>
      <c r="B13" s="402" t="str">
        <f t="shared" si="0"/>
        <v>La somme des CRD des prêts dans sélection pour la région BASSE_NORMANDIE.</v>
      </c>
      <c r="C13" s="406">
        <v>46549140.030000001</v>
      </c>
    </row>
    <row r="14" spans="1:3" x14ac:dyDescent="0.35">
      <c r="A14" s="401" t="s">
        <v>2804</v>
      </c>
      <c r="B14" s="402" t="str">
        <f t="shared" si="0"/>
        <v>La somme des CRD des prêts dans sélection pour la région BOURGOGNE.</v>
      </c>
      <c r="C14" s="406">
        <v>31576980.48</v>
      </c>
    </row>
    <row r="15" spans="1:3" x14ac:dyDescent="0.35">
      <c r="A15" s="401" t="s">
        <v>2805</v>
      </c>
      <c r="B15" s="402" t="str">
        <f t="shared" si="0"/>
        <v>La somme des CRD des prêts dans sélection pour la région BRETAGNE.</v>
      </c>
      <c r="C15" s="406">
        <v>82073892.780000001</v>
      </c>
    </row>
    <row r="16" spans="1:3" x14ac:dyDescent="0.35">
      <c r="A16" s="401" t="s">
        <v>2806</v>
      </c>
      <c r="B16" s="402" t="str">
        <f t="shared" si="0"/>
        <v>La somme des CRD des prêts dans sélection pour la région CENTRE.</v>
      </c>
      <c r="C16" s="406">
        <v>99817725.599999994</v>
      </c>
    </row>
    <row r="17" spans="1:3" x14ac:dyDescent="0.35">
      <c r="A17" s="401" t="s">
        <v>2807</v>
      </c>
      <c r="B17" s="402" t="str">
        <f t="shared" si="0"/>
        <v>La somme des CRD des prêts dans sélection pour la région CHAMPAGNE_ARDENNES.</v>
      </c>
      <c r="C17" s="406">
        <v>12812979.810000001</v>
      </c>
    </row>
    <row r="18" spans="1:3" x14ac:dyDescent="0.35">
      <c r="A18" s="401" t="s">
        <v>2808</v>
      </c>
      <c r="B18" s="402" t="str">
        <f t="shared" si="0"/>
        <v>La somme des CRD des prêts dans sélection pour la région CORSE.</v>
      </c>
      <c r="C18" s="406">
        <v>16544522.050000001</v>
      </c>
    </row>
    <row r="19" spans="1:3" x14ac:dyDescent="0.35">
      <c r="A19" s="401" t="s">
        <v>2809</v>
      </c>
      <c r="B19" s="402" t="str">
        <f t="shared" si="0"/>
        <v>La somme des CRD des prêts dans sélection pour la région FRANCHE_COMTE.</v>
      </c>
      <c r="C19" s="406">
        <v>14085276.609999999</v>
      </c>
    </row>
    <row r="20" spans="1:3" x14ac:dyDescent="0.35">
      <c r="A20" s="401" t="s">
        <v>2810</v>
      </c>
      <c r="B20" s="402" t="str">
        <f t="shared" si="0"/>
        <v>La somme des CRD des prêts dans sélection pour la région HAUTE_NORMANDIE.</v>
      </c>
      <c r="C20" s="406">
        <v>72632049.849999994</v>
      </c>
    </row>
    <row r="21" spans="1:3" x14ac:dyDescent="0.35">
      <c r="A21" s="401" t="s">
        <v>2811</v>
      </c>
      <c r="B21" s="402" t="str">
        <f t="shared" si="0"/>
        <v>La somme des CRD des prêts dans sélection pour la région ILE_DE_FRANCE.</v>
      </c>
      <c r="C21" s="406">
        <v>2698165691.1700001</v>
      </c>
    </row>
    <row r="22" spans="1:3" x14ac:dyDescent="0.35">
      <c r="A22" s="401" t="s">
        <v>2812</v>
      </c>
      <c r="B22" s="402" t="str">
        <f t="shared" si="0"/>
        <v>La somme des CRD des prêts dans sélection pour la région LANGUEDOC_ROUSSILLON.</v>
      </c>
      <c r="C22" s="406">
        <v>125659307.02</v>
      </c>
    </row>
    <row r="23" spans="1:3" x14ac:dyDescent="0.35">
      <c r="A23" s="401" t="s">
        <v>2813</v>
      </c>
      <c r="B23" s="402" t="str">
        <f t="shared" si="0"/>
        <v>La somme des CRD des prêts dans sélection pour la région LIMOUSIN.</v>
      </c>
      <c r="C23" s="406">
        <v>6161395.4299999997</v>
      </c>
    </row>
    <row r="24" spans="1:3" x14ac:dyDescent="0.35">
      <c r="A24" s="401" t="s">
        <v>2814</v>
      </c>
      <c r="B24" s="402" t="str">
        <f t="shared" si="0"/>
        <v>La somme des CRD des prêts dans sélection pour la région LORRAINE.</v>
      </c>
      <c r="C24" s="406">
        <v>74882196.329999998</v>
      </c>
    </row>
    <row r="25" spans="1:3" x14ac:dyDescent="0.35">
      <c r="A25" s="401" t="s">
        <v>2815</v>
      </c>
      <c r="B25" s="402" t="str">
        <f t="shared" si="0"/>
        <v>La somme des CRD des prêts dans sélection pour la région MIDI_PYRENEES.</v>
      </c>
      <c r="C25" s="406">
        <v>117678215.5</v>
      </c>
    </row>
    <row r="26" spans="1:3" x14ac:dyDescent="0.35">
      <c r="A26" s="401" t="s">
        <v>2816</v>
      </c>
      <c r="B26" s="402" t="str">
        <f t="shared" si="0"/>
        <v>La somme des CRD des prêts dans sélection pour la région NORD_PAS_DE_CALAIS.</v>
      </c>
      <c r="C26" s="406">
        <v>305877073.20999998</v>
      </c>
    </row>
    <row r="27" spans="1:3" x14ac:dyDescent="0.35">
      <c r="A27" s="401" t="s">
        <v>2817</v>
      </c>
      <c r="B27" s="402" t="str">
        <f t="shared" si="0"/>
        <v>La somme des CRD des prêts dans sélection pour la région PAYS_DE_LA_LOIRE.</v>
      </c>
      <c r="C27" s="406">
        <v>162157575.99000001</v>
      </c>
    </row>
    <row r="28" spans="1:3" x14ac:dyDescent="0.35">
      <c r="A28" s="401" t="s">
        <v>2818</v>
      </c>
      <c r="B28" s="402" t="str">
        <f t="shared" si="0"/>
        <v>La somme des CRD des prêts dans sélection pour la région PICARDIE.</v>
      </c>
      <c r="C28" s="406">
        <v>95552245.159999996</v>
      </c>
    </row>
    <row r="29" spans="1:3" x14ac:dyDescent="0.35">
      <c r="A29" s="401" t="s">
        <v>2819</v>
      </c>
      <c r="B29" s="402" t="str">
        <f t="shared" si="0"/>
        <v>La somme des CRD des prêts dans sélection pour la région POITOU_CHARENTES.</v>
      </c>
      <c r="C29" s="406">
        <v>58962902.859999999</v>
      </c>
    </row>
    <row r="30" spans="1:3" x14ac:dyDescent="0.35">
      <c r="A30" s="401" t="s">
        <v>2820</v>
      </c>
      <c r="B30" s="402" t="str">
        <f t="shared" si="0"/>
        <v>La somme des CRD des prêts dans sélection pour la région PROVENCE_ALPES_COTE_AZUR.</v>
      </c>
      <c r="C30" s="406">
        <v>889282028.19000006</v>
      </c>
    </row>
    <row r="31" spans="1:3" x14ac:dyDescent="0.35">
      <c r="A31" s="401" t="s">
        <v>2821</v>
      </c>
      <c r="B31" s="402" t="str">
        <f t="shared" si="0"/>
        <v>La somme des CRD des prêts dans sélection pour la région RHONE_ALPES.</v>
      </c>
      <c r="C31" s="406">
        <v>574214011.46000004</v>
      </c>
    </row>
    <row r="32" spans="1:3" x14ac:dyDescent="0.35">
      <c r="A32" s="401"/>
      <c r="B32" s="402"/>
      <c r="C32" s="406"/>
    </row>
    <row r="33" spans="1:3" x14ac:dyDescent="0.35">
      <c r="A33" s="401" t="s">
        <v>2822</v>
      </c>
      <c r="B33" s="402" t="str">
        <f t="shared" ref="B33:B45" si="1">CONCATENATE("La somme des CRD des prêts dans sélection pour la région ",SUBSTITUTE(A33,"CRD_PRETS_REGION_",""),".")</f>
        <v>La somme des CRD des prêts dans sélection pour la région AUVERGNE_RHONE_ALPES_2016.</v>
      </c>
      <c r="C33" s="406">
        <v>592148431.01999998</v>
      </c>
    </row>
    <row r="34" spans="1:3" x14ac:dyDescent="0.35">
      <c r="A34" s="401" t="s">
        <v>2823</v>
      </c>
      <c r="B34" s="402" t="str">
        <f t="shared" si="1"/>
        <v>La somme des CRD des prêts dans sélection pour la région BOURGOGNE_FRANCHE_COMTE_2016.</v>
      </c>
      <c r="C34" s="406">
        <v>45662257.090000004</v>
      </c>
    </row>
    <row r="35" spans="1:3" x14ac:dyDescent="0.35">
      <c r="A35" s="401" t="s">
        <v>2824</v>
      </c>
      <c r="B35" s="402" t="str">
        <f t="shared" si="1"/>
        <v>La somme des CRD des prêts dans sélection pour la région BRETAGNE_2016.</v>
      </c>
      <c r="C35" s="406">
        <v>82073892.780000001</v>
      </c>
    </row>
    <row r="36" spans="1:3" x14ac:dyDescent="0.35">
      <c r="A36" s="401" t="s">
        <v>2825</v>
      </c>
      <c r="B36" s="402" t="str">
        <f t="shared" si="1"/>
        <v>La somme des CRD des prêts dans sélection pour la région CENTRE_VAL_DE_LOIRE_2016.</v>
      </c>
      <c r="C36" s="406">
        <v>99817725.599999994</v>
      </c>
    </row>
    <row r="37" spans="1:3" x14ac:dyDescent="0.35">
      <c r="A37" s="401" t="s">
        <v>2826</v>
      </c>
      <c r="B37" s="402" t="str">
        <f t="shared" si="1"/>
        <v>La somme des CRD des prêts dans sélection pour la région CORSE_2016.</v>
      </c>
      <c r="C37" s="406">
        <v>16544522.050000001</v>
      </c>
    </row>
    <row r="38" spans="1:3" x14ac:dyDescent="0.35">
      <c r="A38" s="401" t="s">
        <v>2827</v>
      </c>
      <c r="B38" s="402" t="str">
        <f t="shared" si="1"/>
        <v>La somme des CRD des prêts dans sélection pour la région GRAND_EST_2016.</v>
      </c>
      <c r="C38" s="406">
        <v>143915630.84999999</v>
      </c>
    </row>
    <row r="39" spans="1:3" x14ac:dyDescent="0.35">
      <c r="A39" s="401" t="s">
        <v>2828</v>
      </c>
      <c r="B39" s="402" t="str">
        <f t="shared" si="1"/>
        <v>La somme des CRD des prêts dans sélection pour la région HAUTS_DE_FRANCE_2016.</v>
      </c>
      <c r="C39" s="406">
        <v>401429318.37</v>
      </c>
    </row>
    <row r="40" spans="1:3" x14ac:dyDescent="0.35">
      <c r="A40" s="401" t="s">
        <v>2829</v>
      </c>
      <c r="B40" s="402" t="str">
        <f t="shared" si="1"/>
        <v>La somme des CRD des prêts dans sélection pour la région ILE_DE_FRANCE_2016.</v>
      </c>
      <c r="C40" s="406">
        <v>2698165691.1700001</v>
      </c>
    </row>
    <row r="41" spans="1:3" x14ac:dyDescent="0.35">
      <c r="A41" s="401" t="s">
        <v>2830</v>
      </c>
      <c r="B41" s="402" t="str">
        <f t="shared" si="1"/>
        <v>La somme des CRD des prêts dans sélection pour la région NORMANDIE_2016.</v>
      </c>
      <c r="C41" s="406">
        <v>119181189.88</v>
      </c>
    </row>
    <row r="42" spans="1:3" x14ac:dyDescent="0.35">
      <c r="A42" s="401" t="s">
        <v>2831</v>
      </c>
      <c r="B42" s="402" t="str">
        <f t="shared" si="1"/>
        <v>La somme des CRD des prêts dans sélection pour la région NOUVELLE_AQUITAINE_2016.</v>
      </c>
      <c r="C42" s="406">
        <v>338434524.02999997</v>
      </c>
    </row>
    <row r="43" spans="1:3" x14ac:dyDescent="0.35">
      <c r="A43" s="401" t="s">
        <v>2832</v>
      </c>
      <c r="B43" s="402" t="str">
        <f t="shared" si="1"/>
        <v>La somme des CRD des prêts dans sélection pour la région OCCITANIE_2016.</v>
      </c>
      <c r="C43" s="406">
        <v>243337522.52000001</v>
      </c>
    </row>
    <row r="44" spans="1:3" x14ac:dyDescent="0.35">
      <c r="A44" s="401" t="s">
        <v>2833</v>
      </c>
      <c r="B44" s="402" t="str">
        <f t="shared" si="1"/>
        <v>La somme des CRD des prêts dans sélection pour la région PAYS_DE_LA_LOIRE_2016.</v>
      </c>
      <c r="C44" s="406">
        <v>162157575.99000001</v>
      </c>
    </row>
    <row r="45" spans="1:3" x14ac:dyDescent="0.35">
      <c r="A45" s="401" t="s">
        <v>2834</v>
      </c>
      <c r="B45" s="402" t="str">
        <f t="shared" si="1"/>
        <v>La somme des CRD des prêts dans sélection pour la région PROVENCE_ALPES_COTE_AZUR_2016.</v>
      </c>
      <c r="C45" s="406">
        <v>889282028.19000006</v>
      </c>
    </row>
    <row r="46" spans="1:3" x14ac:dyDescent="0.35">
      <c r="A46" s="401"/>
      <c r="B46" s="402"/>
      <c r="C46" s="406"/>
    </row>
    <row r="47" spans="1:3" x14ac:dyDescent="0.35">
      <c r="A47" s="401"/>
      <c r="B47" s="402"/>
      <c r="C47" s="404"/>
    </row>
    <row r="48" spans="1:3" x14ac:dyDescent="0.35">
      <c r="A48" s="401" t="s">
        <v>2835</v>
      </c>
      <c r="B48" s="402" t="s">
        <v>2836</v>
      </c>
      <c r="C48" s="406">
        <v>1387399522.1700001</v>
      </c>
    </row>
    <row r="49" spans="1:3" x14ac:dyDescent="0.35">
      <c r="A49" s="401" t="s">
        <v>2837</v>
      </c>
      <c r="B49" s="402" t="s">
        <v>2838</v>
      </c>
      <c r="C49" s="406">
        <v>876364901.24000001</v>
      </c>
    </row>
    <row r="50" spans="1:3" x14ac:dyDescent="0.35">
      <c r="A50" s="401" t="s">
        <v>2839</v>
      </c>
      <c r="B50" s="402" t="s">
        <v>2840</v>
      </c>
      <c r="C50" s="406">
        <v>962663006.44000006</v>
      </c>
    </row>
    <row r="51" spans="1:3" x14ac:dyDescent="0.35">
      <c r="A51" s="401" t="s">
        <v>2841</v>
      </c>
      <c r="B51" s="402" t="s">
        <v>2842</v>
      </c>
      <c r="C51" s="406">
        <v>989223728.88999999</v>
      </c>
    </row>
    <row r="52" spans="1:3" x14ac:dyDescent="0.35">
      <c r="A52" s="401" t="s">
        <v>2843</v>
      </c>
      <c r="B52" s="402" t="s">
        <v>2844</v>
      </c>
      <c r="C52" s="406">
        <v>828337622.36000001</v>
      </c>
    </row>
    <row r="53" spans="1:3" x14ac:dyDescent="0.35">
      <c r="A53" s="401" t="s">
        <v>2845</v>
      </c>
      <c r="B53" s="402" t="s">
        <v>2846</v>
      </c>
      <c r="C53" s="406">
        <v>297994924.81999999</v>
      </c>
    </row>
    <row r="54" spans="1:3" x14ac:dyDescent="0.35">
      <c r="A54" s="401" t="s">
        <v>2847</v>
      </c>
      <c r="B54" s="402" t="s">
        <v>2848</v>
      </c>
      <c r="C54" s="406">
        <v>240653846.27000001</v>
      </c>
    </row>
    <row r="55" spans="1:3" x14ac:dyDescent="0.35">
      <c r="A55" s="401" t="s">
        <v>2849</v>
      </c>
      <c r="B55" s="402" t="s">
        <v>2850</v>
      </c>
      <c r="C55" s="406">
        <v>167762134.78999999</v>
      </c>
    </row>
    <row r="56" spans="1:3" x14ac:dyDescent="0.35">
      <c r="A56" s="401" t="s">
        <v>2851</v>
      </c>
      <c r="B56" s="402" t="s">
        <v>2852</v>
      </c>
      <c r="C56" s="406">
        <v>60567370.700000003</v>
      </c>
    </row>
    <row r="57" spans="1:3" x14ac:dyDescent="0.35">
      <c r="A57" s="401" t="s">
        <v>2853</v>
      </c>
      <c r="B57" s="402" t="s">
        <v>2854</v>
      </c>
      <c r="C57" s="406">
        <v>20904595.559999999</v>
      </c>
    </row>
    <row r="58" spans="1:3" x14ac:dyDescent="0.35">
      <c r="A58" s="401" t="s">
        <v>2855</v>
      </c>
      <c r="B58" s="402" t="s">
        <v>2856</v>
      </c>
      <c r="C58" s="406">
        <v>233554.31</v>
      </c>
    </row>
    <row r="59" spans="1:3" x14ac:dyDescent="0.35">
      <c r="A59" s="401" t="s">
        <v>2857</v>
      </c>
      <c r="B59" s="402" t="s">
        <v>2858</v>
      </c>
      <c r="C59" s="406">
        <v>33709.71</v>
      </c>
    </row>
    <row r="60" spans="1:3" x14ac:dyDescent="0.35">
      <c r="A60" s="401" t="s">
        <v>2859</v>
      </c>
      <c r="B60" s="402" t="s">
        <v>2860</v>
      </c>
      <c r="C60" s="406">
        <v>278656.3</v>
      </c>
    </row>
    <row r="61" spans="1:3" x14ac:dyDescent="0.35">
      <c r="A61" s="401" t="s">
        <v>2861</v>
      </c>
      <c r="B61" s="402" t="s">
        <v>2862</v>
      </c>
      <c r="C61" s="406">
        <v>11392.28</v>
      </c>
    </row>
    <row r="62" spans="1:3" x14ac:dyDescent="0.35">
      <c r="A62" s="401"/>
      <c r="B62" s="402"/>
      <c r="C62" s="404"/>
    </row>
    <row r="63" spans="1:3" x14ac:dyDescent="0.35">
      <c r="A63" s="401" t="s">
        <v>2863</v>
      </c>
      <c r="B63" s="402" t="s">
        <v>2864</v>
      </c>
      <c r="C63" s="405">
        <v>16217</v>
      </c>
    </row>
    <row r="64" spans="1:3" x14ac:dyDescent="0.35">
      <c r="A64" s="401" t="s">
        <v>2865</v>
      </c>
      <c r="B64" s="402" t="s">
        <v>2866</v>
      </c>
      <c r="C64" s="405">
        <v>6122</v>
      </c>
    </row>
    <row r="65" spans="1:3" x14ac:dyDescent="0.35">
      <c r="A65" s="401" t="s">
        <v>2867</v>
      </c>
      <c r="B65" s="402" t="s">
        <v>2868</v>
      </c>
      <c r="C65" s="405">
        <v>6089</v>
      </c>
    </row>
    <row r="66" spans="1:3" x14ac:dyDescent="0.35">
      <c r="A66" s="401" t="s">
        <v>2869</v>
      </c>
      <c r="B66" s="402" t="s">
        <v>2870</v>
      </c>
      <c r="C66" s="405">
        <v>5622</v>
      </c>
    </row>
    <row r="67" spans="1:3" x14ac:dyDescent="0.35">
      <c r="A67" s="401" t="s">
        <v>2871</v>
      </c>
      <c r="B67" s="402" t="s">
        <v>2872</v>
      </c>
      <c r="C67" s="405">
        <v>4473</v>
      </c>
    </row>
    <row r="68" spans="1:3" x14ac:dyDescent="0.35">
      <c r="A68" s="401" t="s">
        <v>2873</v>
      </c>
      <c r="B68" s="402" t="s">
        <v>2874</v>
      </c>
      <c r="C68" s="405">
        <v>1645</v>
      </c>
    </row>
    <row r="69" spans="1:3" x14ac:dyDescent="0.35">
      <c r="A69" s="401" t="s">
        <v>2875</v>
      </c>
      <c r="B69" s="402" t="s">
        <v>2876</v>
      </c>
      <c r="C69" s="405">
        <v>1410</v>
      </c>
    </row>
    <row r="70" spans="1:3" x14ac:dyDescent="0.35">
      <c r="A70" s="401" t="s">
        <v>2877</v>
      </c>
      <c r="B70" s="402" t="s">
        <v>2878</v>
      </c>
      <c r="C70" s="405">
        <v>1010</v>
      </c>
    </row>
    <row r="71" spans="1:3" x14ac:dyDescent="0.35">
      <c r="A71" s="401" t="s">
        <v>2879</v>
      </c>
      <c r="B71" s="402" t="s">
        <v>2880</v>
      </c>
      <c r="C71" s="405">
        <v>327</v>
      </c>
    </row>
    <row r="72" spans="1:3" x14ac:dyDescent="0.35">
      <c r="A72" s="401" t="s">
        <v>2881</v>
      </c>
      <c r="B72" s="402" t="s">
        <v>2882</v>
      </c>
      <c r="C72" s="405">
        <v>132</v>
      </c>
    </row>
    <row r="73" spans="1:3" x14ac:dyDescent="0.35">
      <c r="A73" s="401" t="s">
        <v>2883</v>
      </c>
      <c r="B73" s="402" t="s">
        <v>2884</v>
      </c>
      <c r="C73" s="405">
        <v>6</v>
      </c>
    </row>
    <row r="74" spans="1:3" x14ac:dyDescent="0.35">
      <c r="A74" s="401"/>
      <c r="B74" s="402"/>
      <c r="C74" s="404"/>
    </row>
    <row r="75" spans="1:3" x14ac:dyDescent="0.35">
      <c r="A75" s="401" t="s">
        <v>2885</v>
      </c>
      <c r="B75" s="402" t="s">
        <v>2886</v>
      </c>
      <c r="C75" s="406">
        <v>2155887609.79</v>
      </c>
    </row>
    <row r="76" spans="1:3" x14ac:dyDescent="0.35">
      <c r="A76" s="401" t="s">
        <v>2887</v>
      </c>
      <c r="B76" s="402" t="s">
        <v>2888</v>
      </c>
      <c r="C76" s="406">
        <v>1144859887.8399999</v>
      </c>
    </row>
    <row r="77" spans="1:3" x14ac:dyDescent="0.35">
      <c r="A77" s="401" t="s">
        <v>2889</v>
      </c>
      <c r="B77" s="402" t="s">
        <v>2890</v>
      </c>
      <c r="C77" s="406">
        <v>1023067709.23</v>
      </c>
    </row>
    <row r="78" spans="1:3" x14ac:dyDescent="0.35">
      <c r="A78" s="401" t="s">
        <v>2891</v>
      </c>
      <c r="B78" s="402" t="s">
        <v>2892</v>
      </c>
      <c r="C78" s="406">
        <v>713143127.08000004</v>
      </c>
    </row>
    <row r="79" spans="1:3" x14ac:dyDescent="0.35">
      <c r="A79" s="401" t="s">
        <v>2893</v>
      </c>
      <c r="B79" s="402" t="s">
        <v>2894</v>
      </c>
      <c r="C79" s="406">
        <v>443981481.30000001</v>
      </c>
    </row>
    <row r="80" spans="1:3" x14ac:dyDescent="0.35">
      <c r="A80" s="401" t="s">
        <v>2895</v>
      </c>
      <c r="B80" s="402" t="s">
        <v>2896</v>
      </c>
      <c r="C80" s="406">
        <v>133772358.95</v>
      </c>
    </row>
    <row r="81" spans="1:3" x14ac:dyDescent="0.35">
      <c r="A81" s="401" t="s">
        <v>2897</v>
      </c>
      <c r="B81" s="402" t="s">
        <v>2898</v>
      </c>
      <c r="C81" s="406">
        <v>108959804.54000001</v>
      </c>
    </row>
    <row r="82" spans="1:3" x14ac:dyDescent="0.35">
      <c r="A82" s="401" t="s">
        <v>2899</v>
      </c>
      <c r="B82" s="402" t="s">
        <v>2900</v>
      </c>
      <c r="C82" s="406">
        <v>71641898.650000006</v>
      </c>
    </row>
    <row r="83" spans="1:3" x14ac:dyDescent="0.35">
      <c r="A83" s="401" t="s">
        <v>2901</v>
      </c>
      <c r="B83" s="402" t="s">
        <v>2902</v>
      </c>
      <c r="C83" s="406">
        <v>36836432.159999996</v>
      </c>
    </row>
    <row r="84" spans="1:3" x14ac:dyDescent="0.35">
      <c r="A84" s="401" t="s">
        <v>2903</v>
      </c>
      <c r="B84" s="402" t="s">
        <v>2904</v>
      </c>
      <c r="C84" s="406">
        <v>0</v>
      </c>
    </row>
    <row r="85" spans="1:3" x14ac:dyDescent="0.35">
      <c r="A85" s="401" t="s">
        <v>2905</v>
      </c>
      <c r="B85" s="402" t="s">
        <v>2906</v>
      </c>
      <c r="C85" s="406">
        <v>0</v>
      </c>
    </row>
    <row r="86" spans="1:3" x14ac:dyDescent="0.35">
      <c r="A86" s="401" t="s">
        <v>2907</v>
      </c>
      <c r="B86" s="402" t="s">
        <v>2908</v>
      </c>
      <c r="C86" s="406">
        <v>0</v>
      </c>
    </row>
    <row r="87" spans="1:3" x14ac:dyDescent="0.35">
      <c r="A87" s="401" t="s">
        <v>2909</v>
      </c>
      <c r="B87" s="402" t="s">
        <v>2910</v>
      </c>
      <c r="C87" s="406">
        <v>0</v>
      </c>
    </row>
    <row r="88" spans="1:3" x14ac:dyDescent="0.35">
      <c r="A88" s="401" t="s">
        <v>2911</v>
      </c>
      <c r="B88" s="402" t="s">
        <v>2912</v>
      </c>
      <c r="C88" s="406">
        <v>0</v>
      </c>
    </row>
    <row r="89" spans="1:3" x14ac:dyDescent="0.35">
      <c r="A89" s="401"/>
      <c r="B89" s="402"/>
      <c r="C89" s="404"/>
    </row>
    <row r="90" spans="1:3" x14ac:dyDescent="0.35">
      <c r="A90" s="401" t="s">
        <v>2913</v>
      </c>
      <c r="B90" s="402" t="s">
        <v>2914</v>
      </c>
      <c r="C90" s="405">
        <v>21835</v>
      </c>
    </row>
    <row r="91" spans="1:3" x14ac:dyDescent="0.35">
      <c r="A91" s="401" t="s">
        <v>2915</v>
      </c>
      <c r="B91" s="402" t="s">
        <v>2916</v>
      </c>
      <c r="C91" s="405">
        <v>7130</v>
      </c>
    </row>
    <row r="92" spans="1:3" x14ac:dyDescent="0.35">
      <c r="A92" s="401" t="s">
        <v>2917</v>
      </c>
      <c r="B92" s="402" t="s">
        <v>2918</v>
      </c>
      <c r="C92" s="405">
        <v>5876</v>
      </c>
    </row>
    <row r="93" spans="1:3" x14ac:dyDescent="0.35">
      <c r="A93" s="401" t="s">
        <v>2919</v>
      </c>
      <c r="B93" s="402" t="s">
        <v>2920</v>
      </c>
      <c r="C93" s="405">
        <v>4025</v>
      </c>
    </row>
    <row r="94" spans="1:3" x14ac:dyDescent="0.35">
      <c r="A94" s="401" t="s">
        <v>2921</v>
      </c>
      <c r="B94" s="402" t="s">
        <v>2922</v>
      </c>
      <c r="C94" s="405">
        <v>2458</v>
      </c>
    </row>
    <row r="95" spans="1:3" x14ac:dyDescent="0.35">
      <c r="A95" s="401" t="s">
        <v>2923</v>
      </c>
      <c r="B95" s="402" t="s">
        <v>2924</v>
      </c>
      <c r="C95" s="405">
        <v>691</v>
      </c>
    </row>
    <row r="96" spans="1:3" x14ac:dyDescent="0.35">
      <c r="A96" s="401" t="s">
        <v>2925</v>
      </c>
      <c r="B96" s="402" t="s">
        <v>2926</v>
      </c>
      <c r="C96" s="405">
        <v>515</v>
      </c>
    </row>
    <row r="97" spans="1:9" x14ac:dyDescent="0.35">
      <c r="A97" s="401" t="s">
        <v>2927</v>
      </c>
      <c r="B97" s="402" t="s">
        <v>2928</v>
      </c>
      <c r="C97" s="405">
        <v>342</v>
      </c>
    </row>
    <row r="98" spans="1:9" x14ac:dyDescent="0.35">
      <c r="A98" s="401" t="s">
        <v>2929</v>
      </c>
      <c r="B98" s="402" t="s">
        <v>2930</v>
      </c>
      <c r="C98" s="405">
        <v>181</v>
      </c>
    </row>
    <row r="99" spans="1:9" x14ac:dyDescent="0.35">
      <c r="A99" s="401" t="s">
        <v>2931</v>
      </c>
      <c r="B99" s="402" t="s">
        <v>2932</v>
      </c>
      <c r="C99" s="405">
        <v>0</v>
      </c>
    </row>
    <row r="100" spans="1:9" x14ac:dyDescent="0.35">
      <c r="A100" s="401" t="s">
        <v>2933</v>
      </c>
      <c r="B100" s="402" t="s">
        <v>2934</v>
      </c>
      <c r="C100" s="405">
        <v>0</v>
      </c>
    </row>
    <row r="101" spans="1:9" x14ac:dyDescent="0.35">
      <c r="A101" s="401"/>
      <c r="B101" s="402"/>
      <c r="C101" s="404"/>
    </row>
    <row r="102" spans="1:9" x14ac:dyDescent="0.35">
      <c r="A102" s="401" t="s">
        <v>2935</v>
      </c>
      <c r="B102" s="402" t="s">
        <v>2936</v>
      </c>
      <c r="C102" s="406">
        <v>177539935.00999999</v>
      </c>
      <c r="I102" s="407"/>
    </row>
    <row r="103" spans="1:9" x14ac:dyDescent="0.35">
      <c r="A103" s="401" t="s">
        <v>2937</v>
      </c>
      <c r="B103" s="402" t="s">
        <v>2938</v>
      </c>
      <c r="C103" s="406">
        <v>410932464.67000002</v>
      </c>
      <c r="I103" s="407"/>
    </row>
    <row r="104" spans="1:9" x14ac:dyDescent="0.35">
      <c r="A104" s="401" t="s">
        <v>2939</v>
      </c>
      <c r="B104" s="402" t="s">
        <v>2940</v>
      </c>
      <c r="C104" s="406">
        <v>541021975.83000004</v>
      </c>
      <c r="I104" s="407"/>
    </row>
    <row r="105" spans="1:9" x14ac:dyDescent="0.35">
      <c r="A105" s="401" t="s">
        <v>2941</v>
      </c>
      <c r="B105" s="402" t="s">
        <v>2942</v>
      </c>
      <c r="C105" s="406">
        <v>698326222.90999997</v>
      </c>
      <c r="I105" s="407"/>
    </row>
    <row r="106" spans="1:9" x14ac:dyDescent="0.35">
      <c r="A106" s="401" t="s">
        <v>2943</v>
      </c>
      <c r="B106" s="402" t="s">
        <v>2944</v>
      </c>
      <c r="C106" s="406">
        <v>1010279442.1799999</v>
      </c>
      <c r="I106" s="407"/>
    </row>
    <row r="107" spans="1:9" x14ac:dyDescent="0.35">
      <c r="A107" s="401" t="s">
        <v>2945</v>
      </c>
      <c r="B107" s="402" t="s">
        <v>2946</v>
      </c>
      <c r="C107" s="406">
        <v>2769978273.73</v>
      </c>
      <c r="I107" s="407"/>
    </row>
    <row r="108" spans="1:9" x14ac:dyDescent="0.35">
      <c r="A108" s="401" t="s">
        <v>2947</v>
      </c>
      <c r="B108" s="402" t="s">
        <v>2948</v>
      </c>
      <c r="C108" s="406">
        <v>224071995.21000001</v>
      </c>
      <c r="I108" s="407"/>
    </row>
    <row r="109" spans="1:9" x14ac:dyDescent="0.35">
      <c r="A109" s="401" t="s">
        <v>2949</v>
      </c>
      <c r="B109" s="402" t="s">
        <v>2950</v>
      </c>
      <c r="C109" s="406">
        <v>1708605665.0899999</v>
      </c>
      <c r="I109" s="407"/>
    </row>
    <row r="110" spans="1:9" x14ac:dyDescent="0.35">
      <c r="A110" s="401" t="s">
        <v>2951</v>
      </c>
      <c r="B110" s="402" t="s">
        <v>2952</v>
      </c>
      <c r="C110" s="406">
        <v>2994050268.9400001</v>
      </c>
      <c r="I110" s="407"/>
    </row>
    <row r="111" spans="1:9" x14ac:dyDescent="0.35">
      <c r="A111" s="401"/>
      <c r="B111" s="402"/>
      <c r="C111" s="404"/>
      <c r="I111" s="407"/>
    </row>
    <row r="112" spans="1:9" x14ac:dyDescent="0.35">
      <c r="A112" s="401" t="s">
        <v>2953</v>
      </c>
      <c r="B112" s="402" t="s">
        <v>2954</v>
      </c>
      <c r="C112" s="406"/>
      <c r="I112" s="407"/>
    </row>
    <row r="113" spans="1:9" x14ac:dyDescent="0.35">
      <c r="A113" s="401" t="s">
        <v>2955</v>
      </c>
      <c r="B113" s="402" t="s">
        <v>2956</v>
      </c>
      <c r="C113" s="406">
        <v>429449574.94</v>
      </c>
      <c r="I113" s="407"/>
    </row>
    <row r="114" spans="1:9" x14ac:dyDescent="0.35">
      <c r="A114" s="401" t="s">
        <v>2957</v>
      </c>
      <c r="B114" s="402" t="s">
        <v>2958</v>
      </c>
      <c r="C114" s="406">
        <v>840615025.23000002</v>
      </c>
    </row>
    <row r="115" spans="1:9" x14ac:dyDescent="0.35">
      <c r="A115" s="401"/>
      <c r="B115" s="402"/>
      <c r="C115" s="404"/>
    </row>
    <row r="116" spans="1:9" x14ac:dyDescent="0.35">
      <c r="A116" s="401" t="s">
        <v>2959</v>
      </c>
      <c r="B116" s="402" t="s">
        <v>2960</v>
      </c>
      <c r="C116" s="405">
        <v>34177</v>
      </c>
    </row>
    <row r="117" spans="1:9" x14ac:dyDescent="0.35">
      <c r="A117" s="401" t="s">
        <v>2961</v>
      </c>
      <c r="B117" s="402" t="s">
        <v>2962</v>
      </c>
      <c r="C117" s="405">
        <v>7841</v>
      </c>
    </row>
    <row r="118" spans="1:9" x14ac:dyDescent="0.35">
      <c r="A118" s="401" t="s">
        <v>2963</v>
      </c>
      <c r="B118" s="402" t="s">
        <v>2964</v>
      </c>
      <c r="C118" s="405">
        <v>911</v>
      </c>
    </row>
    <row r="119" spans="1:9" x14ac:dyDescent="0.35">
      <c r="A119" s="401" t="s">
        <v>2965</v>
      </c>
      <c r="B119" s="402" t="s">
        <v>2966</v>
      </c>
      <c r="C119" s="405">
        <v>109</v>
      </c>
    </row>
    <row r="120" spans="1:9" x14ac:dyDescent="0.35">
      <c r="A120" s="401" t="s">
        <v>2967</v>
      </c>
      <c r="B120" s="402" t="s">
        <v>2968</v>
      </c>
      <c r="C120" s="405">
        <v>15</v>
      </c>
    </row>
    <row r="121" spans="1:9" x14ac:dyDescent="0.35">
      <c r="A121" s="401" t="s">
        <v>2969</v>
      </c>
      <c r="B121" s="402" t="s">
        <v>2970</v>
      </c>
      <c r="C121" s="405">
        <v>0</v>
      </c>
    </row>
    <row r="122" spans="1:9" x14ac:dyDescent="0.35">
      <c r="A122" s="401"/>
      <c r="B122" s="402"/>
      <c r="C122" s="404"/>
    </row>
    <row r="123" spans="1:9" x14ac:dyDescent="0.35">
      <c r="A123" s="401" t="s">
        <v>2971</v>
      </c>
      <c r="B123" s="402" t="s">
        <v>2972</v>
      </c>
      <c r="C123" s="406">
        <v>3227785807.3699999</v>
      </c>
    </row>
    <row r="124" spans="1:9" x14ac:dyDescent="0.35">
      <c r="A124" s="401" t="s">
        <v>2973</v>
      </c>
      <c r="B124" s="402" t="s">
        <v>2974</v>
      </c>
      <c r="C124" s="406">
        <v>2096652024.26</v>
      </c>
    </row>
    <row r="125" spans="1:9" x14ac:dyDescent="0.35">
      <c r="A125" s="401" t="s">
        <v>2975</v>
      </c>
      <c r="B125" s="402" t="s">
        <v>2976</v>
      </c>
      <c r="C125" s="406">
        <v>419481413.14999998</v>
      </c>
    </row>
    <row r="126" spans="1:9" x14ac:dyDescent="0.35">
      <c r="A126" s="401" t="s">
        <v>2977</v>
      </c>
      <c r="B126" s="402" t="s">
        <v>2978</v>
      </c>
      <c r="C126" s="406">
        <v>74821681.599999994</v>
      </c>
    </row>
    <row r="127" spans="1:9" x14ac:dyDescent="0.35">
      <c r="A127" s="401" t="s">
        <v>2979</v>
      </c>
      <c r="B127" s="402" t="s">
        <v>2980</v>
      </c>
      <c r="C127" s="406">
        <v>13409383.16</v>
      </c>
    </row>
    <row r="128" spans="1:9" x14ac:dyDescent="0.35">
      <c r="A128" s="401" t="s">
        <v>2981</v>
      </c>
      <c r="B128" s="402" t="s">
        <v>2982</v>
      </c>
      <c r="C128" s="406">
        <v>0</v>
      </c>
    </row>
    <row r="129" spans="1:9" x14ac:dyDescent="0.35">
      <c r="A129" s="401"/>
      <c r="B129" s="402"/>
      <c r="C129" s="404"/>
    </row>
    <row r="130" spans="1:9" x14ac:dyDescent="0.35">
      <c r="A130" s="401" t="s">
        <v>2983</v>
      </c>
      <c r="B130" s="402" t="s">
        <v>2984</v>
      </c>
      <c r="C130" s="406">
        <v>4701398026.1899996</v>
      </c>
    </row>
    <row r="131" spans="1:9" x14ac:dyDescent="0.35">
      <c r="A131" s="401" t="s">
        <v>2985</v>
      </c>
      <c r="B131" s="402" t="s">
        <v>2986</v>
      </c>
      <c r="C131" s="406">
        <v>446894250.19999999</v>
      </c>
    </row>
    <row r="132" spans="1:9" x14ac:dyDescent="0.35">
      <c r="A132" s="401" t="s">
        <v>2987</v>
      </c>
      <c r="B132" s="402" t="s">
        <v>2988</v>
      </c>
      <c r="C132" s="406">
        <v>350716195.06999999</v>
      </c>
    </row>
    <row r="133" spans="1:9" x14ac:dyDescent="0.35">
      <c r="A133" s="401" t="s">
        <v>2989</v>
      </c>
      <c r="B133" s="402" t="s">
        <v>2990</v>
      </c>
      <c r="C133" s="406">
        <v>75773634.739999995</v>
      </c>
    </row>
    <row r="134" spans="1:9" x14ac:dyDescent="0.35">
      <c r="A134" s="401" t="s">
        <v>2991</v>
      </c>
      <c r="B134" s="402" t="s">
        <v>2992</v>
      </c>
      <c r="C134" s="406">
        <v>53349988.850000001</v>
      </c>
    </row>
    <row r="135" spans="1:9" x14ac:dyDescent="0.35">
      <c r="A135" s="401" t="s">
        <v>2993</v>
      </c>
      <c r="B135" s="402" t="s">
        <v>2994</v>
      </c>
      <c r="C135" s="406">
        <v>204018214.49000001</v>
      </c>
    </row>
    <row r="136" spans="1:9" x14ac:dyDescent="0.35">
      <c r="A136" s="401"/>
      <c r="B136" s="402"/>
      <c r="C136" s="404"/>
    </row>
    <row r="137" spans="1:9" x14ac:dyDescent="0.35">
      <c r="A137" s="401" t="s">
        <v>2995</v>
      </c>
      <c r="B137" s="402" t="s">
        <v>2996</v>
      </c>
      <c r="C137" s="406">
        <v>4562085709.3699999</v>
      </c>
    </row>
    <row r="138" spans="1:9" x14ac:dyDescent="0.35">
      <c r="A138" s="401" t="s">
        <v>2997</v>
      </c>
      <c r="B138" s="402" t="s">
        <v>2998</v>
      </c>
      <c r="C138" s="406">
        <v>429449574.94</v>
      </c>
      <c r="I138" s="407"/>
    </row>
    <row r="139" spans="1:9" x14ac:dyDescent="0.35">
      <c r="A139" s="401" t="s">
        <v>2999</v>
      </c>
      <c r="B139" s="402" t="s">
        <v>3000</v>
      </c>
      <c r="C139" s="406">
        <v>0</v>
      </c>
      <c r="I139" s="407"/>
    </row>
    <row r="140" spans="1:9" x14ac:dyDescent="0.35">
      <c r="A140" s="401" t="s">
        <v>3001</v>
      </c>
      <c r="B140" s="402" t="s">
        <v>3002</v>
      </c>
      <c r="C140" s="406">
        <v>0</v>
      </c>
      <c r="I140" s="407"/>
    </row>
    <row r="141" spans="1:9" x14ac:dyDescent="0.35">
      <c r="A141" s="401"/>
      <c r="B141" s="402"/>
      <c r="C141" s="406"/>
      <c r="I141" s="407"/>
    </row>
    <row r="142" spans="1:9" x14ac:dyDescent="0.35">
      <c r="A142" s="401" t="s">
        <v>3003</v>
      </c>
      <c r="B142" s="402" t="s">
        <v>3004</v>
      </c>
      <c r="C142" s="406">
        <v>5832150309.54</v>
      </c>
      <c r="I142" s="407"/>
    </row>
    <row r="143" spans="1:9" x14ac:dyDescent="0.35">
      <c r="A143" s="401" t="s">
        <v>3005</v>
      </c>
      <c r="B143" s="402" t="s">
        <v>3006</v>
      </c>
      <c r="C143" s="406">
        <v>0</v>
      </c>
      <c r="I143" s="407"/>
    </row>
    <row r="144" spans="1:9" x14ac:dyDescent="0.35">
      <c r="A144" s="401"/>
      <c r="B144" s="402"/>
      <c r="C144" s="404"/>
      <c r="I144" s="407"/>
    </row>
    <row r="145" spans="1:12" x14ac:dyDescent="0.35">
      <c r="A145" s="401" t="s">
        <v>3007</v>
      </c>
      <c r="B145" s="402" t="s">
        <v>3008</v>
      </c>
      <c r="C145" s="406">
        <v>4864174.8499999996</v>
      </c>
      <c r="I145" s="407"/>
    </row>
    <row r="146" spans="1:12" x14ac:dyDescent="0.35">
      <c r="A146" s="401" t="s">
        <v>3009</v>
      </c>
      <c r="B146" s="402" t="s">
        <v>3010</v>
      </c>
      <c r="C146" s="406">
        <v>9307431.2699999996</v>
      </c>
      <c r="I146" s="407"/>
    </row>
    <row r="147" spans="1:12" x14ac:dyDescent="0.35">
      <c r="A147" s="401"/>
      <c r="B147" s="402"/>
      <c r="C147" s="406"/>
      <c r="I147" s="407"/>
    </row>
    <row r="148" spans="1:12" x14ac:dyDescent="0.35">
      <c r="A148" s="401" t="s">
        <v>3011</v>
      </c>
      <c r="B148" s="402" t="s">
        <v>3012</v>
      </c>
      <c r="C148" s="406">
        <v>0.55941241296020983</v>
      </c>
      <c r="I148" s="407"/>
    </row>
    <row r="149" spans="1:12" x14ac:dyDescent="0.35">
      <c r="A149" s="401" t="s">
        <v>3013</v>
      </c>
      <c r="B149" s="402" t="s">
        <v>3014</v>
      </c>
      <c r="C149" s="404">
        <v>0.47392885644310023</v>
      </c>
      <c r="I149" s="407"/>
    </row>
    <row r="150" spans="1:12" x14ac:dyDescent="0.35">
      <c r="A150" s="401"/>
      <c r="B150" s="402"/>
      <c r="C150" s="404"/>
      <c r="I150" s="407"/>
    </row>
    <row r="151" spans="1:12" x14ac:dyDescent="0.35">
      <c r="A151" s="401" t="s">
        <v>3015</v>
      </c>
      <c r="B151" s="402" t="s">
        <v>3016</v>
      </c>
      <c r="C151" s="406">
        <v>0</v>
      </c>
      <c r="I151" s="407"/>
      <c r="L151" s="407"/>
    </row>
    <row r="152" spans="1:12" x14ac:dyDescent="0.35">
      <c r="A152" s="401" t="s">
        <v>3017</v>
      </c>
      <c r="B152" s="402" t="s">
        <v>3018</v>
      </c>
      <c r="C152" s="406">
        <v>5832150309.54</v>
      </c>
      <c r="I152" s="407"/>
      <c r="L152" s="407"/>
    </row>
    <row r="153" spans="1:12" x14ac:dyDescent="0.35">
      <c r="A153" s="401"/>
      <c r="B153" s="402"/>
      <c r="C153" s="406"/>
      <c r="I153" s="407"/>
    </row>
    <row r="154" spans="1:12" x14ac:dyDescent="0.35">
      <c r="A154" s="401" t="s">
        <v>3019</v>
      </c>
      <c r="B154" s="402" t="s">
        <v>3020</v>
      </c>
      <c r="C154" s="406">
        <v>3500000000</v>
      </c>
      <c r="I154" s="407"/>
    </row>
    <row r="155" spans="1:12" x14ac:dyDescent="0.35">
      <c r="A155" s="401" t="s">
        <v>3021</v>
      </c>
      <c r="B155" s="402" t="s">
        <v>3022</v>
      </c>
      <c r="C155" s="406">
        <v>3500000000</v>
      </c>
      <c r="I155" s="407"/>
    </row>
    <row r="156" spans="1:12" x14ac:dyDescent="0.35">
      <c r="A156" s="401" t="s">
        <v>3023</v>
      </c>
      <c r="B156" s="402" t="s">
        <v>3024</v>
      </c>
      <c r="C156" s="406">
        <v>0</v>
      </c>
      <c r="I156" s="407"/>
    </row>
    <row r="157" spans="1:12" x14ac:dyDescent="0.35">
      <c r="A157" s="401"/>
      <c r="B157" s="402"/>
      <c r="C157" s="406"/>
      <c r="I157" s="407"/>
    </row>
    <row r="158" spans="1:12" x14ac:dyDescent="0.35">
      <c r="A158" s="401" t="s">
        <v>3025</v>
      </c>
      <c r="B158" s="402" t="s">
        <v>3026</v>
      </c>
      <c r="C158" s="406"/>
      <c r="I158" s="407"/>
    </row>
    <row r="159" spans="1:12" x14ac:dyDescent="0.35">
      <c r="A159" s="408" t="s">
        <v>3027</v>
      </c>
      <c r="B159" s="409" t="s">
        <v>3028</v>
      </c>
      <c r="C159" s="410">
        <v>3194765.58</v>
      </c>
      <c r="I159" s="407"/>
    </row>
    <row r="160" spans="1:12" x14ac:dyDescent="0.35">
      <c r="A160" s="408"/>
      <c r="B160" s="409"/>
      <c r="C160" s="410"/>
      <c r="I160" s="407"/>
    </row>
    <row r="161" spans="1:9" x14ac:dyDescent="0.35">
      <c r="A161" s="408" t="s">
        <v>3029</v>
      </c>
      <c r="B161" s="409" t="s">
        <v>3030</v>
      </c>
      <c r="C161" s="410">
        <v>545764701.92999995</v>
      </c>
      <c r="I161" s="407"/>
    </row>
    <row r="162" spans="1:9" x14ac:dyDescent="0.35">
      <c r="A162" s="408" t="s">
        <v>3031</v>
      </c>
      <c r="B162" s="409" t="s">
        <v>3032</v>
      </c>
      <c r="C162" s="410">
        <v>536807968.01999998</v>
      </c>
      <c r="I162" s="407"/>
    </row>
    <row r="163" spans="1:9" x14ac:dyDescent="0.35">
      <c r="A163" s="408" t="s">
        <v>3033</v>
      </c>
      <c r="B163" s="409" t="s">
        <v>3034</v>
      </c>
      <c r="C163" s="410">
        <v>519350362.55000001</v>
      </c>
      <c r="I163" s="407"/>
    </row>
    <row r="164" spans="1:9" x14ac:dyDescent="0.35">
      <c r="A164" s="408" t="s">
        <v>3035</v>
      </c>
      <c r="B164" s="409" t="s">
        <v>3036</v>
      </c>
      <c r="C164" s="410">
        <v>492239026.88</v>
      </c>
      <c r="I164" s="407"/>
    </row>
    <row r="165" spans="1:9" x14ac:dyDescent="0.35">
      <c r="A165" s="408" t="s">
        <v>3037</v>
      </c>
      <c r="B165" s="409" t="s">
        <v>3038</v>
      </c>
      <c r="C165" s="410">
        <v>467397605.99000001</v>
      </c>
      <c r="I165" s="407"/>
    </row>
    <row r="166" spans="1:9" x14ac:dyDescent="0.35">
      <c r="A166" s="408" t="s">
        <v>3039</v>
      </c>
      <c r="B166" s="409" t="s">
        <v>3040</v>
      </c>
      <c r="C166" s="410">
        <v>1900580558.5699999</v>
      </c>
      <c r="I166" s="407"/>
    </row>
    <row r="167" spans="1:9" x14ac:dyDescent="0.35">
      <c r="A167" s="408" t="s">
        <v>3041</v>
      </c>
      <c r="B167" s="409" t="s">
        <v>3042</v>
      </c>
      <c r="C167" s="410">
        <v>1370010085.5999999</v>
      </c>
      <c r="I167" s="407"/>
    </row>
    <row r="168" spans="1:9" x14ac:dyDescent="0.35">
      <c r="A168" s="408"/>
      <c r="B168" s="409"/>
      <c r="C168" s="410"/>
      <c r="I168" s="407"/>
    </row>
    <row r="169" spans="1:9" x14ac:dyDescent="0.35">
      <c r="A169" s="408" t="s">
        <v>3043</v>
      </c>
      <c r="B169" s="409" t="s">
        <v>3044</v>
      </c>
      <c r="C169" s="410">
        <f>737.908130719953*1000000</f>
        <v>737908130.71995294</v>
      </c>
      <c r="I169" s="407"/>
    </row>
    <row r="170" spans="1:9" x14ac:dyDescent="0.35">
      <c r="A170" s="408" t="s">
        <v>3045</v>
      </c>
      <c r="B170" s="409" t="s">
        <v>3046</v>
      </c>
      <c r="C170" s="410">
        <f>684.026648539965*1000000</f>
        <v>684026648.53996503</v>
      </c>
      <c r="I170" s="407"/>
    </row>
    <row r="171" spans="1:9" x14ac:dyDescent="0.35">
      <c r="A171" s="408" t="s">
        <v>3047</v>
      </c>
      <c r="B171" s="409" t="s">
        <v>3048</v>
      </c>
      <c r="C171" s="410">
        <f>625.27011354998*1000000</f>
        <v>625270113.54998004</v>
      </c>
      <c r="I171" s="407"/>
    </row>
    <row r="172" spans="1:9" x14ac:dyDescent="0.35">
      <c r="A172" s="408" t="s">
        <v>3049</v>
      </c>
      <c r="B172" s="409" t="s">
        <v>3050</v>
      </c>
      <c r="C172" s="410">
        <f>561.819786510038*1000000</f>
        <v>561819786.51003802</v>
      </c>
      <c r="I172" s="407"/>
    </row>
    <row r="173" spans="1:9" x14ac:dyDescent="0.35">
      <c r="A173" s="408" t="s">
        <v>3051</v>
      </c>
      <c r="B173" s="409" t="s">
        <v>3052</v>
      </c>
      <c r="C173" s="410">
        <f>504.821195179993*1000000</f>
        <v>504821195.17999303</v>
      </c>
      <c r="I173" s="407"/>
    </row>
    <row r="174" spans="1:9" x14ac:dyDescent="0.35">
      <c r="A174" s="408" t="s">
        <v>3053</v>
      </c>
      <c r="B174" s="409" t="s">
        <v>3054</v>
      </c>
      <c r="C174" s="410">
        <f>1763.43478868999*1000000</f>
        <v>1763434788.68999</v>
      </c>
      <c r="I174" s="407"/>
    </row>
    <row r="175" spans="1:9" x14ac:dyDescent="0.35">
      <c r="A175" s="408" t="s">
        <v>3055</v>
      </c>
      <c r="B175" s="409" t="s">
        <v>3056</v>
      </c>
      <c r="C175" s="410">
        <f>954.869646350002*1000000</f>
        <v>954869646.35000193</v>
      </c>
      <c r="I175" s="407"/>
    </row>
    <row r="176" spans="1:9" x14ac:dyDescent="0.35">
      <c r="A176" s="408"/>
      <c r="B176" s="409"/>
      <c r="C176" s="410"/>
      <c r="I176" s="407"/>
    </row>
    <row r="177" spans="1:9" x14ac:dyDescent="0.35">
      <c r="A177" s="408" t="s">
        <v>3057</v>
      </c>
      <c r="B177" s="409" t="s">
        <v>3058</v>
      </c>
      <c r="C177" s="410">
        <v>0</v>
      </c>
      <c r="I177" s="407"/>
    </row>
    <row r="178" spans="1:9" x14ac:dyDescent="0.35">
      <c r="A178" s="408" t="s">
        <v>3059</v>
      </c>
      <c r="B178" s="409" t="s">
        <v>3060</v>
      </c>
      <c r="C178" s="410">
        <v>5832128273.1800003</v>
      </c>
      <c r="I178" s="407"/>
    </row>
    <row r="179" spans="1:9" x14ac:dyDescent="0.35">
      <c r="A179" s="408" t="s">
        <v>3061</v>
      </c>
      <c r="B179" s="409" t="s">
        <v>3062</v>
      </c>
      <c r="C179" s="410">
        <v>22036.36</v>
      </c>
      <c r="I179" s="407"/>
    </row>
    <row r="180" spans="1:9" x14ac:dyDescent="0.35">
      <c r="A180" s="408"/>
      <c r="B180" s="409"/>
      <c r="C180" s="410"/>
      <c r="I180" s="407"/>
    </row>
    <row r="181" spans="1:9" x14ac:dyDescent="0.35">
      <c r="A181" s="408" t="s">
        <v>3063</v>
      </c>
      <c r="B181" s="409" t="s">
        <v>3064</v>
      </c>
      <c r="C181" s="410">
        <v>6.6740726188956998</v>
      </c>
      <c r="I181" s="407"/>
    </row>
    <row r="182" spans="1:9" x14ac:dyDescent="0.35">
      <c r="A182" s="408" t="s">
        <v>3065</v>
      </c>
      <c r="B182" s="409" t="s">
        <v>3066</v>
      </c>
      <c r="C182" s="410">
        <v>4.9142979689708293</v>
      </c>
      <c r="I182" s="407"/>
    </row>
    <row r="183" spans="1:9" x14ac:dyDescent="0.35">
      <c r="A183" s="408" t="s">
        <v>3067</v>
      </c>
      <c r="B183" s="409" t="s">
        <v>3068</v>
      </c>
      <c r="C183" s="410">
        <v>3.7559523809523796</v>
      </c>
      <c r="I183" s="407"/>
    </row>
    <row r="184" spans="1:9" x14ac:dyDescent="0.35">
      <c r="A184" s="408" t="s">
        <v>3069</v>
      </c>
      <c r="B184" s="409" t="s">
        <v>3070</v>
      </c>
      <c r="C184" s="410">
        <v>3.7246504351227099</v>
      </c>
      <c r="I184" s="407"/>
    </row>
    <row r="185" spans="1:9" x14ac:dyDescent="0.35">
      <c r="A185" s="408" t="s">
        <v>3071</v>
      </c>
      <c r="B185" s="409" t="s">
        <v>3072</v>
      </c>
      <c r="C185" s="410">
        <v>4.0101691600664893</v>
      </c>
      <c r="I185" s="407"/>
    </row>
    <row r="186" spans="1:9" x14ac:dyDescent="0.35">
      <c r="A186" s="408"/>
      <c r="B186" s="409"/>
      <c r="C186" s="410"/>
      <c r="I186" s="407"/>
    </row>
    <row r="187" spans="1:9" x14ac:dyDescent="0.35">
      <c r="A187" s="408" t="s">
        <v>3073</v>
      </c>
      <c r="B187" s="409" t="s">
        <v>3074</v>
      </c>
      <c r="C187" s="410">
        <v>0</v>
      </c>
      <c r="I187" s="407"/>
    </row>
    <row r="188" spans="1:9" x14ac:dyDescent="0.35">
      <c r="A188" s="408" t="s">
        <v>3075</v>
      </c>
      <c r="B188" s="409" t="s">
        <v>3076</v>
      </c>
      <c r="C188" s="410">
        <v>1000000000</v>
      </c>
      <c r="I188" s="407"/>
    </row>
    <row r="189" spans="1:9" x14ac:dyDescent="0.35">
      <c r="A189" s="408" t="s">
        <v>3077</v>
      </c>
      <c r="B189" s="409" t="s">
        <v>3078</v>
      </c>
      <c r="C189" s="410">
        <v>0</v>
      </c>
      <c r="I189" s="407"/>
    </row>
    <row r="190" spans="1:9" x14ac:dyDescent="0.35">
      <c r="A190" s="408" t="s">
        <v>3079</v>
      </c>
      <c r="B190" s="409" t="s">
        <v>3080</v>
      </c>
      <c r="C190" s="410">
        <v>1250000000</v>
      </c>
      <c r="I190" s="407"/>
    </row>
    <row r="191" spans="1:9" x14ac:dyDescent="0.35">
      <c r="A191" s="408" t="s">
        <v>3081</v>
      </c>
      <c r="B191" s="409" t="s">
        <v>3082</v>
      </c>
      <c r="C191" s="410">
        <v>750000000</v>
      </c>
      <c r="I191" s="407"/>
    </row>
    <row r="192" spans="1:9" x14ac:dyDescent="0.35">
      <c r="A192" s="408" t="s">
        <v>3083</v>
      </c>
      <c r="B192" s="409" t="s">
        <v>3084</v>
      </c>
      <c r="C192" s="410">
        <v>500000000</v>
      </c>
      <c r="I192" s="407"/>
    </row>
    <row r="193" spans="1:9" x14ac:dyDescent="0.35">
      <c r="A193" s="408" t="s">
        <v>3085</v>
      </c>
      <c r="B193" s="409" t="s">
        <v>3086</v>
      </c>
      <c r="C193" s="410">
        <v>0</v>
      </c>
      <c r="I193" s="407"/>
    </row>
    <row r="194" spans="1:9" x14ac:dyDescent="0.35">
      <c r="A194" s="408"/>
      <c r="B194" s="409"/>
      <c r="C194" s="410"/>
      <c r="I194" s="407"/>
    </row>
    <row r="195" spans="1:9" x14ac:dyDescent="0.35">
      <c r="A195" s="408" t="s">
        <v>3087</v>
      </c>
      <c r="B195" s="409" t="s">
        <v>3088</v>
      </c>
      <c r="C195" s="410">
        <v>0</v>
      </c>
      <c r="I195" s="407"/>
    </row>
    <row r="196" spans="1:9" x14ac:dyDescent="0.35">
      <c r="A196" s="408" t="s">
        <v>3089</v>
      </c>
      <c r="B196" s="409" t="s">
        <v>3090</v>
      </c>
      <c r="C196" s="410">
        <v>1000000000</v>
      </c>
      <c r="I196" s="407"/>
    </row>
    <row r="197" spans="1:9" x14ac:dyDescent="0.35">
      <c r="A197" s="408" t="s">
        <v>3091</v>
      </c>
      <c r="B197" s="409" t="s">
        <v>3092</v>
      </c>
      <c r="C197" s="410">
        <v>0</v>
      </c>
      <c r="I197" s="407"/>
    </row>
    <row r="198" spans="1:9" x14ac:dyDescent="0.35">
      <c r="A198" s="408" t="s">
        <v>3093</v>
      </c>
      <c r="B198" s="409" t="s">
        <v>3094</v>
      </c>
      <c r="C198" s="410">
        <v>1250000000</v>
      </c>
      <c r="I198" s="407"/>
    </row>
    <row r="199" spans="1:9" x14ac:dyDescent="0.35">
      <c r="A199" s="408" t="s">
        <v>3095</v>
      </c>
      <c r="B199" s="409" t="s">
        <v>3096</v>
      </c>
      <c r="C199" s="410">
        <v>750000000</v>
      </c>
      <c r="I199" s="407"/>
    </row>
    <row r="200" spans="1:9" x14ac:dyDescent="0.35">
      <c r="A200" s="408" t="s">
        <v>3097</v>
      </c>
      <c r="B200" s="409" t="s">
        <v>3098</v>
      </c>
      <c r="C200" s="410">
        <v>500000000</v>
      </c>
      <c r="I200" s="407"/>
    </row>
    <row r="201" spans="1:9" x14ac:dyDescent="0.35">
      <c r="A201" s="408" t="s">
        <v>3099</v>
      </c>
      <c r="B201" s="409" t="s">
        <v>3100</v>
      </c>
      <c r="C201" s="410">
        <v>0</v>
      </c>
      <c r="I201" s="407"/>
    </row>
    <row r="202" spans="1:9" x14ac:dyDescent="0.35">
      <c r="A202" s="408"/>
      <c r="B202" s="409"/>
      <c r="C202" s="410"/>
      <c r="I202" s="407"/>
    </row>
    <row r="203" spans="1:9" x14ac:dyDescent="0.35">
      <c r="A203" s="408" t="s">
        <v>3101</v>
      </c>
      <c r="B203" s="402" t="s">
        <v>3102</v>
      </c>
      <c r="C203" s="411">
        <v>0</v>
      </c>
      <c r="I203" s="407"/>
    </row>
    <row r="204" spans="1:9" x14ac:dyDescent="0.35">
      <c r="A204" s="408" t="s">
        <v>3103</v>
      </c>
      <c r="B204" s="402" t="s">
        <v>3104</v>
      </c>
      <c r="C204" s="411">
        <v>0</v>
      </c>
      <c r="I204" s="407"/>
    </row>
    <row r="205" spans="1:9" x14ac:dyDescent="0.35">
      <c r="A205" s="408" t="s">
        <v>3105</v>
      </c>
      <c r="B205" s="402" t="s">
        <v>3106</v>
      </c>
      <c r="C205" s="411">
        <v>2500</v>
      </c>
      <c r="I205" s="407"/>
    </row>
    <row r="206" spans="1:9" x14ac:dyDescent="0.35">
      <c r="A206" s="408" t="s">
        <v>3107</v>
      </c>
      <c r="B206" s="402" t="s">
        <v>3108</v>
      </c>
      <c r="C206" s="411">
        <v>0</v>
      </c>
      <c r="I206" s="407"/>
    </row>
    <row r="207" spans="1:9" x14ac:dyDescent="0.35">
      <c r="A207" s="408"/>
      <c r="B207" s="409"/>
      <c r="C207" s="410"/>
      <c r="I207" s="407"/>
    </row>
    <row r="208" spans="1:9" x14ac:dyDescent="0.35">
      <c r="A208" s="408" t="s">
        <v>3109</v>
      </c>
      <c r="B208" s="409" t="s">
        <v>3110</v>
      </c>
      <c r="C208" s="410">
        <v>110849375.08</v>
      </c>
      <c r="I208" s="407"/>
    </row>
    <row r="209" spans="1:9" x14ac:dyDescent="0.35">
      <c r="A209" s="408"/>
      <c r="B209" s="409"/>
      <c r="C209" s="410"/>
      <c r="I209" s="407"/>
    </row>
    <row r="210" spans="1:9" x14ac:dyDescent="0.35">
      <c r="A210" s="408" t="s">
        <v>3111</v>
      </c>
      <c r="B210" s="409" t="s">
        <v>3112</v>
      </c>
      <c r="C210" s="410">
        <v>115339352</v>
      </c>
      <c r="I210" s="407"/>
    </row>
    <row r="211" spans="1:9" x14ac:dyDescent="0.35">
      <c r="A211" s="408" t="s">
        <v>3113</v>
      </c>
      <c r="B211" s="409" t="s">
        <v>3112</v>
      </c>
      <c r="C211" s="410">
        <v>1660605</v>
      </c>
      <c r="I211" s="407"/>
    </row>
    <row r="212" spans="1:9" x14ac:dyDescent="0.35">
      <c r="A212" s="408" t="s">
        <v>3114</v>
      </c>
      <c r="B212" s="409" t="s">
        <v>3112</v>
      </c>
      <c r="C212" s="410">
        <v>24451844</v>
      </c>
      <c r="I212" s="407"/>
    </row>
    <row r="213" spans="1:9" x14ac:dyDescent="0.35">
      <c r="A213" s="408"/>
      <c r="B213" s="409"/>
      <c r="C213" s="410"/>
      <c r="I213" s="407"/>
    </row>
    <row r="214" spans="1:9" s="415" customFormat="1" x14ac:dyDescent="0.35">
      <c r="A214" s="412" t="s">
        <v>3115</v>
      </c>
      <c r="B214" s="413" t="s">
        <v>3116</v>
      </c>
      <c r="C214" s="414">
        <v>61.9</v>
      </c>
    </row>
    <row r="215" spans="1:9" s="415" customFormat="1" x14ac:dyDescent="0.35">
      <c r="A215" s="412" t="s">
        <v>3117</v>
      </c>
      <c r="B215" s="413" t="s">
        <v>3118</v>
      </c>
      <c r="C215" s="414">
        <v>153.28390280511201</v>
      </c>
    </row>
    <row r="216" spans="1:9" x14ac:dyDescent="0.35">
      <c r="A216" s="408"/>
      <c r="B216" s="409"/>
      <c r="C216" s="410"/>
      <c r="I216" s="407"/>
    </row>
    <row r="217" spans="1:9" x14ac:dyDescent="0.35">
      <c r="A217" s="416" t="s">
        <v>3119</v>
      </c>
      <c r="B217" s="417" t="s">
        <v>3120</v>
      </c>
      <c r="C217" s="418">
        <v>12.2544</v>
      </c>
      <c r="I217" s="407"/>
    </row>
    <row r="218" spans="1:9" x14ac:dyDescent="0.35">
      <c r="A218" s="416" t="s">
        <v>3121</v>
      </c>
      <c r="B218" s="417" t="s">
        <v>3122</v>
      </c>
      <c r="C218" s="418">
        <v>105</v>
      </c>
      <c r="I218" s="407"/>
    </row>
    <row r="219" spans="1:9" x14ac:dyDescent="0.35">
      <c r="A219" s="416" t="s">
        <v>3123</v>
      </c>
      <c r="B219" s="417" t="s">
        <v>3124</v>
      </c>
      <c r="C219" s="418">
        <v>163.87</v>
      </c>
      <c r="I219" s="407"/>
    </row>
    <row r="220" spans="1:9" x14ac:dyDescent="0.35">
      <c r="A220" s="408"/>
      <c r="B220" s="409"/>
      <c r="C220" s="410"/>
      <c r="I220" s="407"/>
    </row>
    <row r="221" spans="1:9" x14ac:dyDescent="0.35">
      <c r="A221" s="408" t="s">
        <v>3125</v>
      </c>
      <c r="B221" s="409" t="s">
        <v>3126</v>
      </c>
      <c r="C221" s="410">
        <v>0</v>
      </c>
      <c r="I221" s="407"/>
    </row>
    <row r="222" spans="1:9" x14ac:dyDescent="0.35">
      <c r="A222" s="408" t="s">
        <v>3127</v>
      </c>
      <c r="B222" s="409" t="s">
        <v>3128</v>
      </c>
      <c r="C222" s="419">
        <v>0</v>
      </c>
      <c r="I222" s="407"/>
    </row>
    <row r="223" spans="1:9" ht="15" thickBot="1" x14ac:dyDescent="0.4">
      <c r="A223" s="420"/>
      <c r="B223" s="421"/>
      <c r="C223" s="422"/>
      <c r="I223" s="407"/>
    </row>
  </sheetData>
  <pageMargins left="0.7" right="0.7" top="0.75" bottom="0.75" header="0.3" footer="0.3"/>
  <pageSetup paperSize="9" orientation="portrait" r:id="rId1"/>
  <headerFooter>
    <oddFooter>&amp;C&amp;1#&amp;"Calibri"&amp;10&amp;K000000INTERNE</oddFooter>
    <evenFooter>&amp;LPUBLIC</evenFooter>
    <firstFooter>&amp;LPUBLIC</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C7" sqref="C7"/>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838" t="s">
        <v>2778</v>
      </c>
      <c r="E6" s="838"/>
      <c r="F6" s="838"/>
      <c r="G6" s="838"/>
      <c r="H6" s="838"/>
      <c r="I6" s="7"/>
      <c r="J6" s="8"/>
    </row>
    <row r="7" spans="2:10" ht="26" x14ac:dyDescent="0.35">
      <c r="B7" s="6"/>
      <c r="C7" s="7"/>
      <c r="D7" s="7"/>
      <c r="E7" s="7"/>
      <c r="F7" s="829" t="s">
        <v>517</v>
      </c>
      <c r="G7" s="7"/>
      <c r="H7" s="7"/>
      <c r="I7" s="7"/>
      <c r="J7" s="8"/>
    </row>
    <row r="8" spans="2:10" ht="26" x14ac:dyDescent="0.35">
      <c r="B8" s="6"/>
      <c r="C8" s="7"/>
      <c r="D8" s="7"/>
      <c r="E8" s="7"/>
      <c r="F8" s="829" t="s">
        <v>3129</v>
      </c>
      <c r="G8" s="7"/>
      <c r="H8" s="7"/>
      <c r="I8" s="7"/>
      <c r="J8" s="8"/>
    </row>
    <row r="9" spans="2:10" ht="21" x14ac:dyDescent="0.35">
      <c r="B9" s="6"/>
      <c r="C9" s="7"/>
      <c r="D9" s="7"/>
      <c r="E9" s="843">
        <f>REPORTING_DATE</f>
        <v>45291</v>
      </c>
      <c r="F9" s="843"/>
      <c r="G9" s="843"/>
      <c r="H9" s="7"/>
      <c r="I9" s="7"/>
      <c r="J9" s="8"/>
    </row>
    <row r="10" spans="2:10" ht="21" x14ac:dyDescent="0.35">
      <c r="B10" s="6"/>
      <c r="C10" s="7"/>
      <c r="D10" s="7"/>
      <c r="E10" s="844">
        <f>REPORTING_DATE</f>
        <v>45291</v>
      </c>
      <c r="F10" s="844"/>
      <c r="G10" s="844"/>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841" t="s">
        <v>15</v>
      </c>
      <c r="E24" s="842" t="s">
        <v>16</v>
      </c>
      <c r="F24" s="842"/>
      <c r="G24" s="842"/>
      <c r="H24" s="842"/>
      <c r="I24" s="7"/>
      <c r="J24" s="8"/>
    </row>
    <row r="25" spans="2:10" x14ac:dyDescent="0.35">
      <c r="B25" s="6"/>
      <c r="C25" s="7"/>
      <c r="D25" s="7"/>
      <c r="E25" s="16"/>
      <c r="F25" s="16"/>
      <c r="G25" s="16"/>
      <c r="H25" s="7"/>
      <c r="I25" s="7"/>
      <c r="J25" s="8"/>
    </row>
    <row r="26" spans="2:10" x14ac:dyDescent="0.35">
      <c r="B26" s="6"/>
      <c r="C26" s="7"/>
      <c r="D26" s="841" t="s">
        <v>17</v>
      </c>
      <c r="E26" s="842"/>
      <c r="F26" s="842"/>
      <c r="G26" s="842"/>
      <c r="H26" s="842"/>
      <c r="I26" s="7"/>
      <c r="J26" s="8"/>
    </row>
    <row r="27" spans="2:10" x14ac:dyDescent="0.35">
      <c r="B27" s="6"/>
      <c r="C27" s="7"/>
      <c r="D27" s="17"/>
      <c r="E27" s="17"/>
      <c r="F27" s="17"/>
      <c r="G27" s="17"/>
      <c r="H27" s="17"/>
      <c r="I27" s="7"/>
      <c r="J27" s="8"/>
    </row>
    <row r="28" spans="2:10" x14ac:dyDescent="0.35">
      <c r="B28" s="6"/>
      <c r="C28" s="7"/>
      <c r="D28" s="841" t="s">
        <v>18</v>
      </c>
      <c r="E28" s="842" t="s">
        <v>16</v>
      </c>
      <c r="F28" s="842"/>
      <c r="G28" s="842"/>
      <c r="H28" s="842"/>
      <c r="I28" s="7"/>
      <c r="J28" s="8"/>
    </row>
    <row r="29" spans="2:10" x14ac:dyDescent="0.35">
      <c r="B29" s="6"/>
      <c r="C29" s="7"/>
      <c r="D29" s="17"/>
      <c r="E29" s="17"/>
      <c r="F29" s="17"/>
      <c r="G29" s="17"/>
      <c r="H29" s="17"/>
      <c r="I29" s="7"/>
      <c r="J29" s="8"/>
    </row>
    <row r="30" spans="2:10" x14ac:dyDescent="0.35">
      <c r="B30" s="6"/>
      <c r="C30" s="7"/>
      <c r="D30" s="841" t="s">
        <v>19</v>
      </c>
      <c r="E30" s="842" t="s">
        <v>16</v>
      </c>
      <c r="F30" s="842"/>
      <c r="G30" s="842"/>
      <c r="H30" s="842"/>
      <c r="I30" s="7"/>
      <c r="J30" s="8"/>
    </row>
    <row r="31" spans="2:10" x14ac:dyDescent="0.35">
      <c r="B31" s="6"/>
      <c r="C31" s="7"/>
      <c r="D31" s="17"/>
      <c r="E31" s="17"/>
      <c r="F31" s="17"/>
      <c r="G31" s="17"/>
      <c r="H31" s="17"/>
      <c r="I31" s="7"/>
      <c r="J31" s="8"/>
    </row>
    <row r="32" spans="2:10" x14ac:dyDescent="0.35">
      <c r="B32" s="6"/>
      <c r="C32" s="7"/>
      <c r="D32" s="841" t="s">
        <v>20</v>
      </c>
      <c r="E32" s="842" t="s">
        <v>16</v>
      </c>
      <c r="F32" s="842"/>
      <c r="G32" s="842"/>
      <c r="H32" s="842"/>
      <c r="I32" s="7"/>
      <c r="J32" s="8"/>
    </row>
    <row r="33" spans="1:18" x14ac:dyDescent="0.35">
      <c r="B33" s="6"/>
      <c r="C33" s="7"/>
      <c r="D33" s="16"/>
      <c r="E33" s="16"/>
      <c r="F33" s="16"/>
      <c r="G33" s="16"/>
      <c r="H33" s="16"/>
      <c r="I33" s="7"/>
      <c r="J33" s="8"/>
    </row>
    <row r="34" spans="1:18" x14ac:dyDescent="0.35">
      <c r="B34" s="6"/>
      <c r="C34" s="7"/>
      <c r="D34" s="841" t="s">
        <v>21</v>
      </c>
      <c r="E34" s="842" t="s">
        <v>16</v>
      </c>
      <c r="F34" s="842"/>
      <c r="G34" s="842"/>
      <c r="H34" s="842"/>
      <c r="I34" s="7"/>
      <c r="J34" s="8"/>
    </row>
    <row r="35" spans="1:18" x14ac:dyDescent="0.35">
      <c r="B35" s="6"/>
      <c r="C35" s="7"/>
      <c r="D35" s="7"/>
      <c r="E35" s="7"/>
      <c r="F35" s="7"/>
      <c r="G35" s="7"/>
      <c r="H35" s="7"/>
      <c r="I35" s="7"/>
      <c r="J35" s="8"/>
    </row>
    <row r="36" spans="1:18" x14ac:dyDescent="0.35">
      <c r="B36" s="6"/>
      <c r="C36" s="7"/>
      <c r="D36" s="839" t="s">
        <v>22</v>
      </c>
      <c r="E36" s="840"/>
      <c r="F36" s="840"/>
      <c r="G36" s="840"/>
      <c r="H36" s="840"/>
      <c r="I36" s="7"/>
      <c r="J36" s="8"/>
    </row>
    <row r="37" spans="1:18" x14ac:dyDescent="0.35">
      <c r="B37" s="6"/>
      <c r="C37" s="7"/>
      <c r="D37" s="7"/>
      <c r="E37" s="7"/>
      <c r="F37" s="15"/>
      <c r="G37" s="7"/>
      <c r="H37" s="7"/>
      <c r="I37" s="7"/>
      <c r="J37" s="8"/>
    </row>
    <row r="38" spans="1:18" x14ac:dyDescent="0.35">
      <c r="B38" s="6"/>
      <c r="C38" s="7"/>
      <c r="D38" s="839" t="s">
        <v>1512</v>
      </c>
      <c r="E38" s="840"/>
      <c r="F38" s="840"/>
      <c r="G38" s="840"/>
      <c r="H38" s="840"/>
      <c r="I38" s="7"/>
      <c r="J38" s="8"/>
    </row>
    <row r="39" spans="1:18" x14ac:dyDescent="0.35">
      <c r="B39" s="6"/>
      <c r="C39" s="7"/>
      <c r="D39" s="140"/>
      <c r="E39" s="140"/>
      <c r="F39" s="140"/>
      <c r="G39" s="140"/>
      <c r="H39" s="140"/>
      <c r="I39" s="7"/>
      <c r="J39" s="8"/>
    </row>
    <row r="40" spans="1:18" s="258" customFormat="1" x14ac:dyDescent="0.35">
      <c r="A40" s="2"/>
      <c r="B40" s="6"/>
      <c r="C40" s="7"/>
      <c r="D40" s="839" t="s">
        <v>2787</v>
      </c>
      <c r="E40" s="840" t="s">
        <v>16</v>
      </c>
      <c r="F40" s="840"/>
      <c r="G40" s="840"/>
      <c r="H40" s="840"/>
      <c r="I40" s="7"/>
      <c r="J40" s="8"/>
      <c r="K40" s="2"/>
      <c r="L40" s="2"/>
      <c r="M40" s="2"/>
      <c r="N40" s="2"/>
      <c r="O40" s="2"/>
      <c r="P40" s="2"/>
      <c r="Q40" s="2"/>
      <c r="R40" s="2"/>
    </row>
    <row r="41" spans="1:18" s="258" customFormat="1" x14ac:dyDescent="0.35">
      <c r="A41" s="2"/>
      <c r="B41" s="6"/>
      <c r="C41" s="7"/>
      <c r="D41" s="7"/>
      <c r="E41" s="326"/>
      <c r="F41" s="326"/>
      <c r="G41" s="326"/>
      <c r="H41" s="326"/>
      <c r="I41" s="7"/>
      <c r="J41" s="8"/>
      <c r="K41" s="2"/>
      <c r="L41" s="2"/>
      <c r="M41" s="2"/>
      <c r="N41" s="2"/>
      <c r="O41" s="2"/>
      <c r="P41" s="2"/>
      <c r="Q41" s="2"/>
      <c r="R41" s="2"/>
    </row>
    <row r="42" spans="1:18" s="258" customFormat="1" x14ac:dyDescent="0.35">
      <c r="A42" s="2"/>
      <c r="B42" s="6"/>
      <c r="C42" s="7"/>
      <c r="D42" s="839" t="s">
        <v>2788</v>
      </c>
      <c r="E42" s="840"/>
      <c r="F42" s="840"/>
      <c r="G42" s="840"/>
      <c r="H42" s="840"/>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3">
    <mergeCell ref="D6:H6"/>
    <mergeCell ref="D42:H42"/>
    <mergeCell ref="D40:H40"/>
    <mergeCell ref="D38:H38"/>
    <mergeCell ref="D36:H36"/>
    <mergeCell ref="D24:H24"/>
    <mergeCell ref="D26:H26"/>
    <mergeCell ref="D28:H28"/>
    <mergeCell ref="D30:H30"/>
    <mergeCell ref="D32:H32"/>
    <mergeCell ref="D34:H34"/>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T90"/>
  <sheetViews>
    <sheetView topLeftCell="B1" zoomScale="80" zoomScaleNormal="80" workbookViewId="0">
      <selection activeCell="C7" sqref="C7"/>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1568</v>
      </c>
      <c r="D9" s="24"/>
      <c r="E9" s="24"/>
      <c r="F9" s="24"/>
      <c r="G9" s="24"/>
      <c r="H9" s="24"/>
      <c r="I9" s="7"/>
      <c r="J9" s="8"/>
      <c r="M9" s="22"/>
      <c r="N9" s="7"/>
    </row>
    <row r="10" spans="1:14" x14ac:dyDescent="0.35">
      <c r="B10" s="6"/>
      <c r="C10" s="23" t="s">
        <v>1569</v>
      </c>
      <c r="D10" s="29"/>
      <c r="E10" s="29"/>
      <c r="F10" s="24"/>
      <c r="G10" s="24"/>
      <c r="H10" s="24"/>
      <c r="I10" s="7"/>
      <c r="J10" s="8"/>
      <c r="M10" s="22"/>
      <c r="N10" s="7"/>
    </row>
    <row r="11" spans="1:14" x14ac:dyDescent="0.35">
      <c r="B11" s="6"/>
      <c r="C11" s="23" t="s">
        <v>1570</v>
      </c>
      <c r="D11" s="24"/>
      <c r="E11" s="24"/>
      <c r="F11" s="24"/>
      <c r="G11" s="24"/>
      <c r="H11" s="24"/>
      <c r="I11" s="7"/>
      <c r="J11" s="8"/>
      <c r="M11" s="22"/>
      <c r="N11" s="22"/>
    </row>
    <row r="12" spans="1:14" x14ac:dyDescent="0.35">
      <c r="B12" s="6"/>
      <c r="C12" s="23"/>
      <c r="D12" s="23" t="s">
        <v>1571</v>
      </c>
      <c r="E12" s="24"/>
      <c r="F12" s="24"/>
      <c r="G12" s="24"/>
      <c r="H12" s="24"/>
      <c r="I12" s="7"/>
      <c r="J12" s="8"/>
      <c r="M12" s="22"/>
      <c r="N12" s="22"/>
    </row>
    <row r="13" spans="1:14" x14ac:dyDescent="0.35">
      <c r="B13" s="6"/>
      <c r="C13" s="23"/>
      <c r="D13" s="23" t="s">
        <v>1572</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1573</v>
      </c>
      <c r="D17" s="23"/>
      <c r="E17" s="23"/>
      <c r="F17" s="28"/>
      <c r="G17" s="28"/>
      <c r="H17" s="28"/>
      <c r="I17" s="28"/>
      <c r="J17" s="8"/>
      <c r="M17" s="22"/>
      <c r="N17" s="23"/>
    </row>
    <row r="18" spans="2:14" s="2" customFormat="1" x14ac:dyDescent="0.35">
      <c r="B18" s="6"/>
      <c r="C18" s="29" t="s">
        <v>1574</v>
      </c>
      <c r="D18" s="29"/>
      <c r="E18" s="24"/>
      <c r="F18" s="28"/>
      <c r="G18" s="28"/>
      <c r="H18" s="28"/>
      <c r="I18" s="28"/>
      <c r="J18" s="8"/>
      <c r="M18" s="22"/>
      <c r="N18" s="23"/>
    </row>
    <row r="19" spans="2:14" s="2" customFormat="1" x14ac:dyDescent="0.35">
      <c r="B19" s="6"/>
      <c r="C19" s="23" t="s">
        <v>1575</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1576</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1577</v>
      </c>
      <c r="D24" s="23"/>
      <c r="E24" s="23"/>
      <c r="F24" s="31"/>
      <c r="G24" s="31"/>
      <c r="H24" s="31"/>
      <c r="I24" s="14"/>
      <c r="J24" s="8"/>
    </row>
    <row r="25" spans="2:14" s="2" customFormat="1" ht="15" customHeight="1" x14ac:dyDescent="0.35">
      <c r="B25" s="6"/>
      <c r="C25" s="845" t="s">
        <v>1579</v>
      </c>
      <c r="D25" s="845"/>
      <c r="E25" s="845"/>
      <c r="F25" s="845"/>
      <c r="G25" s="845"/>
      <c r="H25" s="845"/>
      <c r="I25" s="14"/>
      <c r="J25" s="8"/>
    </row>
    <row r="26" spans="2:14" s="2" customFormat="1" x14ac:dyDescent="0.35">
      <c r="B26" s="6"/>
      <c r="C26" s="845"/>
      <c r="D26" s="845"/>
      <c r="E26" s="845"/>
      <c r="F26" s="845"/>
      <c r="G26" s="845"/>
      <c r="H26" s="845"/>
      <c r="I26" s="14"/>
      <c r="J26" s="8"/>
    </row>
    <row r="27" spans="2:14" s="2" customFormat="1" x14ac:dyDescent="0.35">
      <c r="B27" s="6"/>
      <c r="C27" s="845" t="s">
        <v>1578</v>
      </c>
      <c r="D27" s="845"/>
      <c r="E27" s="845"/>
      <c r="F27" s="845"/>
      <c r="G27" s="845"/>
      <c r="H27" s="845"/>
      <c r="I27" s="14"/>
      <c r="J27" s="8"/>
    </row>
    <row r="28" spans="2:14" s="2" customFormat="1" x14ac:dyDescent="0.35">
      <c r="B28" s="6"/>
      <c r="C28" s="845"/>
      <c r="D28" s="845"/>
      <c r="E28" s="845"/>
      <c r="F28" s="845"/>
      <c r="G28" s="845"/>
      <c r="H28" s="845"/>
      <c r="I28" s="14"/>
      <c r="J28" s="8"/>
    </row>
    <row r="29" spans="2:14" s="2" customFormat="1" x14ac:dyDescent="0.35">
      <c r="B29" s="6"/>
      <c r="C29" s="845" t="s">
        <v>1580</v>
      </c>
      <c r="D29" s="845"/>
      <c r="E29" s="845"/>
      <c r="F29" s="845"/>
      <c r="G29" s="845"/>
      <c r="H29" s="845"/>
      <c r="I29" s="14"/>
      <c r="J29" s="8"/>
    </row>
    <row r="30" spans="2:14" s="2" customFormat="1" x14ac:dyDescent="0.35">
      <c r="B30" s="6"/>
      <c r="C30" s="845"/>
      <c r="D30" s="845"/>
      <c r="E30" s="845"/>
      <c r="F30" s="845"/>
      <c r="G30" s="845"/>
      <c r="H30" s="845"/>
      <c r="I30" s="14"/>
      <c r="J30" s="8"/>
    </row>
    <row r="31" spans="2:14" s="2" customFormat="1" x14ac:dyDescent="0.35">
      <c r="B31" s="6"/>
      <c r="C31" s="23" t="s">
        <v>1584</v>
      </c>
      <c r="D31" s="23"/>
      <c r="E31" s="23"/>
      <c r="F31" s="31"/>
      <c r="G31" s="31"/>
      <c r="H31" s="31"/>
      <c r="I31" s="14"/>
      <c r="J31" s="8"/>
    </row>
    <row r="32" spans="2:14" s="2" customFormat="1" x14ac:dyDescent="0.35">
      <c r="B32" s="6"/>
      <c r="C32" s="23"/>
      <c r="D32" s="23" t="s">
        <v>1581</v>
      </c>
      <c r="E32" s="23"/>
      <c r="F32" s="31"/>
      <c r="G32" s="31"/>
      <c r="H32" s="31"/>
      <c r="I32" s="14"/>
      <c r="J32" s="8"/>
    </row>
    <row r="33" spans="2:20" s="2" customFormat="1" x14ac:dyDescent="0.35">
      <c r="B33" s="6"/>
      <c r="C33" s="23"/>
      <c r="D33" s="23" t="s">
        <v>1582</v>
      </c>
      <c r="E33" s="23"/>
      <c r="F33" s="31"/>
      <c r="G33" s="31"/>
      <c r="H33" s="31"/>
      <c r="I33" s="14"/>
      <c r="J33" s="8"/>
    </row>
    <row r="34" spans="2:20" s="2" customFormat="1" x14ac:dyDescent="0.35">
      <c r="B34" s="6"/>
      <c r="C34" s="23"/>
      <c r="D34" s="23" t="s">
        <v>1583</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0"/>
      <c r="C72" s="351"/>
      <c r="D72" s="351"/>
      <c r="E72" s="351"/>
      <c r="F72" s="351"/>
      <c r="G72" s="351"/>
      <c r="H72" s="351"/>
      <c r="I72" s="351"/>
      <c r="J72" s="352"/>
    </row>
    <row r="73" spans="1:20" ht="18.5" x14ac:dyDescent="0.45">
      <c r="B73" s="26"/>
      <c r="C73" s="355" t="s">
        <v>2785</v>
      </c>
      <c r="D73" s="22"/>
      <c r="E73" s="22"/>
      <c r="F73" s="22"/>
      <c r="G73" s="22"/>
      <c r="H73" s="22"/>
      <c r="I73" s="22"/>
      <c r="J73" s="27"/>
    </row>
    <row r="74" spans="1:20" s="258" customFormat="1" ht="18.5" x14ac:dyDescent="0.45">
      <c r="A74" s="2"/>
      <c r="B74" s="26"/>
      <c r="C74" s="847" t="s">
        <v>2786</v>
      </c>
      <c r="D74" s="847"/>
      <c r="E74" s="847"/>
      <c r="F74" s="847"/>
      <c r="G74" s="847"/>
      <c r="H74" s="847"/>
      <c r="I74" s="847"/>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6" t="s">
        <v>2638</v>
      </c>
      <c r="D76" s="22"/>
      <c r="E76" s="22"/>
      <c r="F76" s="22"/>
      <c r="G76" s="22"/>
      <c r="H76" s="22"/>
      <c r="I76" s="22"/>
      <c r="J76" s="27"/>
    </row>
    <row r="77" spans="1:20" x14ac:dyDescent="0.35">
      <c r="B77" s="26"/>
      <c r="C77" s="356" t="s">
        <v>2753</v>
      </c>
      <c r="D77" s="22"/>
      <c r="E77" s="22"/>
      <c r="F77" s="22"/>
      <c r="G77" s="22"/>
      <c r="H77" s="22"/>
      <c r="I77" s="22"/>
      <c r="J77" s="27"/>
    </row>
    <row r="78" spans="1:20" s="361" customFormat="1" ht="24.75" customHeight="1" x14ac:dyDescent="0.35">
      <c r="A78" s="2"/>
      <c r="B78" s="26"/>
      <c r="C78" s="846" t="s">
        <v>2754</v>
      </c>
      <c r="D78" s="846"/>
      <c r="E78" s="846"/>
      <c r="F78" s="846"/>
      <c r="G78" s="846"/>
      <c r="H78" s="846"/>
      <c r="I78" s="846"/>
      <c r="J78" s="27"/>
      <c r="K78" s="2"/>
      <c r="L78" s="2"/>
      <c r="M78" s="2"/>
      <c r="N78" s="2"/>
      <c r="O78" s="2"/>
      <c r="P78" s="2"/>
      <c r="Q78" s="2"/>
      <c r="R78" s="2"/>
    </row>
    <row r="79" spans="1:20" x14ac:dyDescent="0.35">
      <c r="B79" s="26"/>
      <c r="C79" s="846" t="s">
        <v>2755</v>
      </c>
      <c r="D79" s="846"/>
      <c r="E79" s="846"/>
      <c r="F79" s="846"/>
      <c r="G79" s="846"/>
      <c r="H79" s="846"/>
      <c r="I79" s="846"/>
      <c r="J79" s="27"/>
    </row>
    <row r="80" spans="1:20" x14ac:dyDescent="0.35">
      <c r="B80" s="26"/>
      <c r="C80" s="356" t="s">
        <v>2756</v>
      </c>
      <c r="D80" s="22"/>
      <c r="E80" s="22"/>
      <c r="F80" s="22"/>
      <c r="G80" s="22"/>
      <c r="H80" s="22"/>
      <c r="I80" s="22"/>
      <c r="J80" s="27"/>
    </row>
    <row r="81" spans="1:18" s="361" customFormat="1" x14ac:dyDescent="0.35">
      <c r="A81" s="2"/>
      <c r="B81" s="26"/>
      <c r="C81" s="356" t="s">
        <v>2766</v>
      </c>
      <c r="D81" s="22"/>
      <c r="E81" s="22"/>
      <c r="F81" s="22"/>
      <c r="G81" s="22"/>
      <c r="H81" s="22"/>
      <c r="I81" s="22"/>
      <c r="J81" s="27"/>
      <c r="K81" s="2"/>
      <c r="L81" s="2"/>
      <c r="M81" s="2"/>
      <c r="N81" s="2"/>
      <c r="O81" s="2"/>
      <c r="P81" s="2"/>
      <c r="Q81" s="2"/>
      <c r="R81" s="2"/>
    </row>
    <row r="82" spans="1:18" s="361" customFormat="1" x14ac:dyDescent="0.35">
      <c r="A82" s="2"/>
      <c r="B82" s="26"/>
      <c r="C82" s="356" t="s">
        <v>2768</v>
      </c>
      <c r="D82" s="22"/>
      <c r="E82" s="22"/>
      <c r="F82" s="22"/>
      <c r="G82" s="22"/>
      <c r="H82" s="22"/>
      <c r="I82" s="22"/>
      <c r="J82" s="27"/>
      <c r="K82" s="2"/>
      <c r="L82" s="2"/>
      <c r="M82" s="2"/>
      <c r="N82" s="2"/>
      <c r="O82" s="2"/>
      <c r="P82" s="2"/>
      <c r="Q82" s="2"/>
      <c r="R82" s="2"/>
    </row>
    <row r="83" spans="1:18" x14ac:dyDescent="0.35">
      <c r="B83" s="26"/>
      <c r="C83" s="356" t="s">
        <v>2767</v>
      </c>
      <c r="D83" s="22"/>
      <c r="E83" s="22"/>
      <c r="F83" s="22"/>
      <c r="G83" s="22"/>
      <c r="H83" s="22"/>
      <c r="I83" s="22"/>
      <c r="J83" s="27"/>
    </row>
    <row r="84" spans="1:18" x14ac:dyDescent="0.35">
      <c r="B84" s="26"/>
      <c r="C84" s="356" t="s">
        <v>2769</v>
      </c>
      <c r="D84" s="22"/>
      <c r="E84" s="22"/>
      <c r="F84" s="22"/>
      <c r="G84" s="22"/>
      <c r="H84" s="22"/>
      <c r="I84" s="22"/>
      <c r="J84" s="27"/>
    </row>
    <row r="85" spans="1:18" x14ac:dyDescent="0.35">
      <c r="B85" s="26"/>
      <c r="C85" s="356" t="s">
        <v>2770</v>
      </c>
      <c r="D85" s="22"/>
      <c r="E85" s="22"/>
      <c r="F85" s="22"/>
      <c r="G85" s="22"/>
      <c r="H85" s="22"/>
      <c r="I85" s="22"/>
      <c r="J85" s="27"/>
    </row>
    <row r="86" spans="1:18" x14ac:dyDescent="0.35">
      <c r="B86" s="26"/>
      <c r="C86" s="356" t="s">
        <v>2771</v>
      </c>
      <c r="D86" s="22"/>
      <c r="E86" s="22"/>
      <c r="F86" s="22"/>
      <c r="G86" s="22"/>
      <c r="H86" s="22"/>
      <c r="I86" s="22"/>
      <c r="J86" s="27"/>
    </row>
    <row r="87" spans="1:18" x14ac:dyDescent="0.35">
      <c r="B87" s="26"/>
      <c r="C87" s="356" t="s">
        <v>2782</v>
      </c>
      <c r="D87" s="22"/>
      <c r="E87" s="22"/>
      <c r="F87" s="22"/>
      <c r="G87" s="22"/>
      <c r="H87" s="22"/>
      <c r="I87" s="22"/>
      <c r="J87" s="27"/>
    </row>
    <row r="88" spans="1:18" x14ac:dyDescent="0.35">
      <c r="B88" s="26"/>
      <c r="C88" s="394" t="s">
        <v>2783</v>
      </c>
      <c r="D88" s="22"/>
      <c r="E88" s="22"/>
      <c r="F88" s="22"/>
      <c r="G88" s="22"/>
      <c r="H88" s="22"/>
      <c r="I88" s="22"/>
      <c r="J88" s="27"/>
    </row>
    <row r="89" spans="1:18" x14ac:dyDescent="0.35">
      <c r="B89" s="26"/>
      <c r="C89" s="394" t="s">
        <v>2784</v>
      </c>
      <c r="D89" s="22"/>
      <c r="E89" s="22"/>
      <c r="F89" s="22"/>
      <c r="G89" s="22"/>
      <c r="H89" s="22"/>
      <c r="I89" s="22"/>
      <c r="J89" s="27"/>
    </row>
    <row r="90" spans="1:18" ht="15" thickBot="1" x14ac:dyDescent="0.4">
      <c r="B90" s="353"/>
      <c r="C90" s="33"/>
      <c r="D90" s="33"/>
      <c r="E90" s="33"/>
      <c r="F90" s="33"/>
      <c r="G90" s="33"/>
      <c r="H90" s="33"/>
      <c r="I90" s="33"/>
      <c r="J90" s="354"/>
    </row>
  </sheetData>
  <mergeCells count="6">
    <mergeCell ref="C25:H26"/>
    <mergeCell ref="C27:H28"/>
    <mergeCell ref="C29:H30"/>
    <mergeCell ref="C79:I79"/>
    <mergeCell ref="C78:I78"/>
    <mergeCell ref="C74:I74"/>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7" sqref="C7"/>
    </sheetView>
  </sheetViews>
  <sheetFormatPr defaultColWidth="9.1796875"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848" t="s">
        <v>37</v>
      </c>
      <c r="B1" s="849"/>
      <c r="C1" s="849"/>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1556</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2131</v>
      </c>
      <c r="D24" s="59"/>
    </row>
    <row r="25" spans="1:31" ht="14.5" customHeight="1" x14ac:dyDescent="0.35">
      <c r="A25" s="194" t="s">
        <v>1562</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4" t="s">
        <v>1559</v>
      </c>
      <c r="B29" s="194"/>
      <c r="C29" s="195"/>
    </row>
    <row r="30" spans="1:31" ht="58" x14ac:dyDescent="0.35">
      <c r="A30" s="196"/>
      <c r="B30" s="197" t="s">
        <v>1557</v>
      </c>
      <c r="C30" s="58" t="s">
        <v>2132</v>
      </c>
    </row>
    <row r="31" spans="1:31" x14ac:dyDescent="0.35">
      <c r="A31" s="194" t="s">
        <v>1558</v>
      </c>
      <c r="B31" s="194"/>
      <c r="C31" s="195"/>
    </row>
    <row r="32" spans="1:31" ht="29" x14ac:dyDescent="0.35">
      <c r="A32" s="196"/>
      <c r="B32" s="197" t="s">
        <v>1560</v>
      </c>
      <c r="C32" s="58" t="s">
        <v>1561</v>
      </c>
    </row>
    <row r="33" spans="1:3" x14ac:dyDescent="0.35">
      <c r="A33" s="194" t="s">
        <v>1563</v>
      </c>
      <c r="B33" s="194"/>
      <c r="C33" s="195"/>
    </row>
    <row r="34" spans="1:3" x14ac:dyDescent="0.35">
      <c r="A34" s="196"/>
      <c r="B34" s="197" t="s">
        <v>1567</v>
      </c>
      <c r="C34" s="58" t="s">
        <v>1566</v>
      </c>
    </row>
    <row r="38" spans="1:3" x14ac:dyDescent="0.3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 sqref="C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4" t="s">
        <v>1513</v>
      </c>
      <c r="B1" s="184"/>
      <c r="C1" s="64"/>
      <c r="D1" s="64"/>
      <c r="E1" s="64"/>
      <c r="F1" s="369" t="s">
        <v>2773</v>
      </c>
      <c r="H1" s="64"/>
      <c r="I1" s="184"/>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210</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0"/>
      <c r="D6" s="260"/>
      <c r="H6" s="64"/>
      <c r="L6" s="64"/>
      <c r="M6" s="64"/>
    </row>
    <row r="7" spans="1:13" x14ac:dyDescent="0.35">
      <c r="B7" s="73" t="s">
        <v>75</v>
      </c>
      <c r="C7" s="260"/>
      <c r="D7" s="260"/>
      <c r="H7" s="64"/>
      <c r="L7" s="64"/>
      <c r="M7" s="64"/>
    </row>
    <row r="8" spans="1:13" x14ac:dyDescent="0.35">
      <c r="B8" s="73" t="s">
        <v>76</v>
      </c>
      <c r="C8" s="260"/>
      <c r="D8" s="260"/>
      <c r="F8" s="66" t="s">
        <v>77</v>
      </c>
      <c r="H8" s="64"/>
      <c r="L8" s="64"/>
      <c r="M8" s="64"/>
    </row>
    <row r="9" spans="1:13" x14ac:dyDescent="0.35">
      <c r="B9" s="370" t="s">
        <v>2639</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74</v>
      </c>
      <c r="C13" s="78"/>
      <c r="D13" s="78"/>
      <c r="E13" s="78"/>
      <c r="F13" s="78"/>
      <c r="G13" s="79"/>
      <c r="H13" s="64"/>
      <c r="L13" s="64"/>
      <c r="M13" s="64"/>
    </row>
    <row r="14" spans="1:13" x14ac:dyDescent="0.35">
      <c r="A14" s="66" t="s">
        <v>81</v>
      </c>
      <c r="B14" s="80" t="s">
        <v>0</v>
      </c>
      <c r="C14" s="423" t="s">
        <v>517</v>
      </c>
      <c r="E14" s="72"/>
      <c r="F14" s="72"/>
      <c r="H14" s="64"/>
      <c r="L14" s="64"/>
      <c r="M14" s="64"/>
    </row>
    <row r="15" spans="1:13" x14ac:dyDescent="0.35">
      <c r="A15" s="66" t="s">
        <v>83</v>
      </c>
      <c r="B15" s="80" t="s">
        <v>84</v>
      </c>
      <c r="C15" s="423" t="s">
        <v>3129</v>
      </c>
      <c r="E15" s="72"/>
      <c r="F15" s="72"/>
      <c r="H15" s="64"/>
      <c r="L15" s="64"/>
      <c r="M15" s="64"/>
    </row>
    <row r="16" spans="1:13" ht="29" x14ac:dyDescent="0.35">
      <c r="A16" s="66" t="s">
        <v>85</v>
      </c>
      <c r="B16" s="80" t="s">
        <v>86</v>
      </c>
      <c r="C16" s="423" t="s">
        <v>3130</v>
      </c>
      <c r="E16" s="72"/>
      <c r="F16" s="72"/>
      <c r="H16" s="64"/>
      <c r="L16" s="64"/>
      <c r="M16" s="64"/>
    </row>
    <row r="17" spans="1:13" x14ac:dyDescent="0.35">
      <c r="A17" s="66" t="s">
        <v>87</v>
      </c>
      <c r="B17" s="80" t="s">
        <v>88</v>
      </c>
      <c r="C17" s="830">
        <f>REPORTING_DATE</f>
        <v>45291</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99</v>
      </c>
      <c r="B27" s="396" t="s">
        <v>2779</v>
      </c>
      <c r="C27" s="362" t="s">
        <v>2775</v>
      </c>
      <c r="D27" s="83"/>
      <c r="E27" s="83"/>
      <c r="F27" s="83"/>
      <c r="H27" s="64"/>
      <c r="L27" s="64"/>
      <c r="M27" s="64"/>
    </row>
    <row r="28" spans="1:13" x14ac:dyDescent="0.35">
      <c r="A28" s="66" t="s">
        <v>100</v>
      </c>
      <c r="B28" s="371" t="s">
        <v>2774</v>
      </c>
      <c r="C28" s="339" t="s">
        <v>2775</v>
      </c>
      <c r="D28" s="83"/>
      <c r="E28" s="83"/>
      <c r="F28" s="83"/>
      <c r="H28" s="64"/>
      <c r="L28" s="64"/>
      <c r="M28" s="395" t="s">
        <v>2775</v>
      </c>
    </row>
    <row r="29" spans="1:13" x14ac:dyDescent="0.35">
      <c r="A29" s="66" t="s">
        <v>102</v>
      </c>
      <c r="B29" s="82" t="s">
        <v>101</v>
      </c>
      <c r="C29" s="66" t="s">
        <v>2775</v>
      </c>
      <c r="E29" s="83"/>
      <c r="F29" s="83"/>
      <c r="H29" s="64"/>
      <c r="L29" s="64"/>
      <c r="M29" s="395" t="s">
        <v>2776</v>
      </c>
    </row>
    <row r="30" spans="1:13" ht="29" outlineLevel="1" x14ac:dyDescent="0.35">
      <c r="A30" s="66" t="s">
        <v>105</v>
      </c>
      <c r="B30" s="82" t="s">
        <v>103</v>
      </c>
      <c r="C30" s="423" t="s">
        <v>3131</v>
      </c>
      <c r="E30" s="83"/>
      <c r="F30" s="83"/>
      <c r="H30" s="64"/>
      <c r="L30" s="64"/>
      <c r="M30" s="395" t="s">
        <v>2777</v>
      </c>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1382</v>
      </c>
      <c r="C38" s="424">
        <f>CRD_PRETS_SELECTION/1000000</f>
        <v>5832.1503095400003</v>
      </c>
      <c r="F38" s="83"/>
      <c r="H38" s="64"/>
      <c r="L38" s="64"/>
      <c r="M38" s="64"/>
    </row>
    <row r="39" spans="1:14" x14ac:dyDescent="0.35">
      <c r="A39" s="66" t="s">
        <v>113</v>
      </c>
      <c r="B39" s="83" t="s">
        <v>114</v>
      </c>
      <c r="C39" s="424">
        <f>BONDS_AMOUNT/1000000</f>
        <v>3500</v>
      </c>
      <c r="F39" s="83"/>
      <c r="H39" s="64"/>
      <c r="L39" s="64"/>
      <c r="M39" s="64"/>
      <c r="N39" s="96"/>
    </row>
    <row r="40" spans="1:14" outlineLevel="1" x14ac:dyDescent="0.35">
      <c r="A40" s="66" t="s">
        <v>115</v>
      </c>
      <c r="B40" s="89" t="s">
        <v>116</v>
      </c>
      <c r="C40" s="187" t="s">
        <v>1209</v>
      </c>
      <c r="F40" s="83"/>
      <c r="H40" s="64"/>
      <c r="L40" s="64"/>
      <c r="M40" s="64"/>
      <c r="N40" s="96"/>
    </row>
    <row r="41" spans="1:14" outlineLevel="1" x14ac:dyDescent="0.35">
      <c r="A41" s="66" t="s">
        <v>118</v>
      </c>
      <c r="B41" s="89" t="s">
        <v>119</v>
      </c>
      <c r="C41" s="245" t="s">
        <v>1209</v>
      </c>
      <c r="F41" s="83"/>
      <c r="H41" s="64"/>
      <c r="L41" s="64"/>
      <c r="M41" s="64"/>
      <c r="N41" s="96"/>
    </row>
    <row r="42" spans="1:14" outlineLevel="1" x14ac:dyDescent="0.35">
      <c r="A42" s="66" t="s">
        <v>120</v>
      </c>
      <c r="B42" s="89"/>
      <c r="C42" s="187"/>
      <c r="F42" s="83"/>
      <c r="H42" s="64"/>
      <c r="L42" s="64"/>
      <c r="M42" s="64"/>
      <c r="N42" s="96"/>
    </row>
    <row r="43" spans="1:14" outlineLevel="1" x14ac:dyDescent="0.35">
      <c r="A43" s="96" t="s">
        <v>1585</v>
      </c>
      <c r="B43" s="83"/>
      <c r="F43" s="83"/>
      <c r="H43" s="64"/>
      <c r="L43" s="64"/>
      <c r="M43" s="64"/>
      <c r="N43" s="96"/>
    </row>
    <row r="44" spans="1:14" ht="15" customHeight="1" x14ac:dyDescent="0.35">
      <c r="A44" s="85"/>
      <c r="B44" s="85" t="s">
        <v>121</v>
      </c>
      <c r="C44" s="85" t="s">
        <v>2675</v>
      </c>
      <c r="D44" s="85" t="s">
        <v>2746</v>
      </c>
      <c r="E44" s="85"/>
      <c r="F44" s="85" t="s">
        <v>2745</v>
      </c>
      <c r="G44" s="85" t="s">
        <v>122</v>
      </c>
      <c r="I44" s="64"/>
      <c r="J44" s="64"/>
      <c r="K44" s="96"/>
      <c r="L44" s="96"/>
      <c r="M44" s="96"/>
      <c r="N44" s="96"/>
    </row>
    <row r="45" spans="1:14" x14ac:dyDescent="0.35">
      <c r="A45" s="66" t="s">
        <v>8</v>
      </c>
      <c r="B45" s="261" t="s">
        <v>123</v>
      </c>
      <c r="C45" s="231">
        <v>0.05</v>
      </c>
      <c r="D45" s="181">
        <f>IF(OR(C38="[For completion]",C39="[For completion]"),"Please complete G.3.1.1 and G.3.1.2",(C38/C39-1-MAX(C45,F45)))</f>
        <v>0.55521754875746043</v>
      </c>
      <c r="E45" s="181"/>
      <c r="F45" s="231">
        <f>1/0.9-100%</f>
        <v>0.11111111111111116</v>
      </c>
      <c r="G45" s="362" t="s">
        <v>1209</v>
      </c>
      <c r="H45" s="64"/>
      <c r="L45" s="64"/>
      <c r="M45" s="64"/>
      <c r="N45" s="96"/>
    </row>
    <row r="46" spans="1:14" outlineLevel="1" x14ac:dyDescent="0.35">
      <c r="A46" s="66" t="s">
        <v>124</v>
      </c>
      <c r="B46" s="81" t="s">
        <v>125</v>
      </c>
      <c r="C46" s="181"/>
      <c r="D46" s="181"/>
      <c r="E46" s="181"/>
      <c r="F46" s="181"/>
      <c r="G46" s="103"/>
      <c r="H46" s="64"/>
      <c r="L46" s="64"/>
      <c r="M46" s="64"/>
      <c r="N46" s="96"/>
    </row>
    <row r="47" spans="1:14" outlineLevel="1" x14ac:dyDescent="0.35">
      <c r="A47" s="66" t="s">
        <v>126</v>
      </c>
      <c r="B47" s="81" t="s">
        <v>127</v>
      </c>
      <c r="C47" s="181"/>
      <c r="D47" s="181"/>
      <c r="E47" s="181"/>
      <c r="F47" s="181"/>
      <c r="G47" s="103"/>
      <c r="H47" s="64"/>
      <c r="L47" s="64"/>
      <c r="M47" s="64"/>
      <c r="N47" s="96"/>
    </row>
    <row r="48" spans="1:14" outlineLevel="1" x14ac:dyDescent="0.35">
      <c r="A48" s="66" t="s">
        <v>128</v>
      </c>
      <c r="B48" s="81"/>
      <c r="C48" s="103"/>
      <c r="D48" s="103"/>
      <c r="E48" s="103"/>
      <c r="F48" s="103"/>
      <c r="G48" s="103"/>
      <c r="H48" s="64"/>
      <c r="L48" s="64"/>
      <c r="M48" s="64"/>
      <c r="N48" s="96"/>
    </row>
    <row r="49" spans="1:14" outlineLevel="1" x14ac:dyDescent="0.35">
      <c r="A49" s="66" t="s">
        <v>129</v>
      </c>
      <c r="B49" s="81"/>
      <c r="C49" s="103"/>
      <c r="D49" s="103"/>
      <c r="E49" s="103"/>
      <c r="F49" s="103"/>
      <c r="G49" s="103"/>
      <c r="H49" s="64"/>
      <c r="L49" s="64"/>
      <c r="M49" s="64"/>
      <c r="N49" s="96"/>
    </row>
    <row r="50" spans="1:14" outlineLevel="1" x14ac:dyDescent="0.35">
      <c r="A50" s="66" t="s">
        <v>130</v>
      </c>
      <c r="B50" s="81"/>
      <c r="C50" s="103"/>
      <c r="D50" s="103"/>
      <c r="E50" s="103"/>
      <c r="F50" s="103"/>
      <c r="G50" s="103"/>
      <c r="H50" s="64"/>
      <c r="L50" s="64"/>
      <c r="M50" s="64"/>
      <c r="N50" s="96"/>
    </row>
    <row r="51" spans="1:14" outlineLevel="1" x14ac:dyDescent="0.35">
      <c r="A51" s="66" t="s">
        <v>131</v>
      </c>
      <c r="B51" s="81"/>
      <c r="C51" s="103"/>
      <c r="D51" s="103"/>
      <c r="E51" s="103"/>
      <c r="F51" s="103"/>
      <c r="G51" s="103"/>
      <c r="H51" s="64"/>
      <c r="L51" s="64"/>
      <c r="M51" s="64"/>
      <c r="N51" s="96"/>
    </row>
    <row r="52" spans="1:14" ht="15" customHeight="1" x14ac:dyDescent="0.35">
      <c r="A52" s="85"/>
      <c r="B52" s="86" t="s">
        <v>132</v>
      </c>
      <c r="C52" s="85" t="s">
        <v>112</v>
      </c>
      <c r="D52" s="85"/>
      <c r="E52" s="87"/>
      <c r="F52" s="88" t="s">
        <v>133</v>
      </c>
      <c r="G52" s="88"/>
      <c r="H52" s="64"/>
      <c r="L52" s="64"/>
      <c r="M52" s="64"/>
      <c r="N52" s="96"/>
    </row>
    <row r="53" spans="1:14" x14ac:dyDescent="0.35">
      <c r="A53" s="66" t="s">
        <v>134</v>
      </c>
      <c r="B53" s="83" t="s">
        <v>135</v>
      </c>
      <c r="C53" s="424">
        <f>CRD_PRETS_SELECTION/1000000</f>
        <v>5832.1503095400003</v>
      </c>
      <c r="E53" s="91"/>
      <c r="F53" s="199">
        <f>IF($C$58=0,"",IF(C53="[for completion]","",C53/$C$58))</f>
        <v>0.9813479083017842</v>
      </c>
      <c r="G53" s="92"/>
      <c r="H53" s="64"/>
      <c r="L53" s="64"/>
      <c r="M53" s="64"/>
      <c r="N53" s="96"/>
    </row>
    <row r="54" spans="1:14" x14ac:dyDescent="0.35">
      <c r="A54" s="66" t="s">
        <v>136</v>
      </c>
      <c r="B54" s="83" t="s">
        <v>137</v>
      </c>
      <c r="C54" s="424">
        <v>0</v>
      </c>
      <c r="E54" s="91"/>
      <c r="F54" s="199">
        <f>IF($C$58=0,"",IF(C54="[for completion]","",C54/$C$58))</f>
        <v>0</v>
      </c>
      <c r="G54" s="92"/>
      <c r="H54" s="64"/>
      <c r="L54" s="64"/>
      <c r="M54" s="64"/>
      <c r="N54" s="96"/>
    </row>
    <row r="55" spans="1:14" x14ac:dyDescent="0.35">
      <c r="A55" s="66" t="s">
        <v>138</v>
      </c>
      <c r="B55" s="83" t="s">
        <v>139</v>
      </c>
      <c r="C55" s="424">
        <v>0</v>
      </c>
      <c r="E55" s="91"/>
      <c r="F55" s="207">
        <f>IF($C$58=0,"",IF(C55="[for completion]","",C55/$C$58))</f>
        <v>0</v>
      </c>
      <c r="G55" s="92"/>
      <c r="H55" s="64"/>
      <c r="L55" s="64"/>
      <c r="M55" s="64"/>
      <c r="N55" s="96"/>
    </row>
    <row r="56" spans="1:14" x14ac:dyDescent="0.35">
      <c r="A56" s="66" t="s">
        <v>140</v>
      </c>
      <c r="B56" s="83" t="s">
        <v>141</v>
      </c>
      <c r="C56" s="424">
        <f>PERMITTED_INSTRUMENTS/1000000</f>
        <v>110.84937508</v>
      </c>
      <c r="E56" s="91"/>
      <c r="F56" s="207">
        <f>IF($C$58=0,"",IF(C56="[for completion]","",C56/$C$58))</f>
        <v>1.8652091698215831E-2</v>
      </c>
      <c r="G56" s="92"/>
      <c r="H56" s="64"/>
      <c r="L56" s="64"/>
      <c r="M56" s="64"/>
      <c r="N56" s="96"/>
    </row>
    <row r="57" spans="1:14" x14ac:dyDescent="0.35">
      <c r="A57" s="66" t="s">
        <v>142</v>
      </c>
      <c r="B57" s="66" t="s">
        <v>143</v>
      </c>
      <c r="C57" s="424">
        <v>0</v>
      </c>
      <c r="E57" s="91"/>
      <c r="F57" s="199">
        <f>IF($C$58=0,"",IF(C57="[for completion]","",C57/$C$58))</f>
        <v>0</v>
      </c>
      <c r="G57" s="92"/>
      <c r="H57" s="64"/>
      <c r="L57" s="64"/>
      <c r="M57" s="64"/>
      <c r="N57" s="96"/>
    </row>
    <row r="58" spans="1:14" x14ac:dyDescent="0.35">
      <c r="A58" s="66" t="s">
        <v>144</v>
      </c>
      <c r="B58" s="93" t="s">
        <v>145</v>
      </c>
      <c r="C58" s="189">
        <f>SUM(C53:C57)</f>
        <v>5942.9996846200002</v>
      </c>
      <c r="D58" s="91"/>
      <c r="E58" s="91"/>
      <c r="F58" s="200">
        <f>SUM(F53:F57)</f>
        <v>1</v>
      </c>
      <c r="G58" s="92"/>
      <c r="H58" s="64"/>
      <c r="L58" s="64"/>
      <c r="M58" s="64"/>
      <c r="N58" s="96"/>
    </row>
    <row r="59" spans="1:14" outlineLevel="1" x14ac:dyDescent="0.35">
      <c r="A59" s="66" t="s">
        <v>146</v>
      </c>
      <c r="B59" s="95" t="s">
        <v>147</v>
      </c>
      <c r="C59" s="187"/>
      <c r="E59" s="91"/>
      <c r="F59" s="199">
        <f t="shared" ref="F59:F64" si="0">IF($C$58=0,"",IF(C59="[for completion]","",C59/$C$58))</f>
        <v>0</v>
      </c>
      <c r="G59" s="92"/>
      <c r="H59" s="64"/>
      <c r="L59" s="64"/>
      <c r="M59" s="64"/>
      <c r="N59" s="96"/>
    </row>
    <row r="60" spans="1:14" outlineLevel="1" x14ac:dyDescent="0.35">
      <c r="A60" s="66" t="s">
        <v>148</v>
      </c>
      <c r="B60" s="95" t="s">
        <v>147</v>
      </c>
      <c r="C60" s="187"/>
      <c r="E60" s="91"/>
      <c r="F60" s="199">
        <f t="shared" si="0"/>
        <v>0</v>
      </c>
      <c r="G60" s="92"/>
      <c r="H60" s="64"/>
      <c r="L60" s="64"/>
      <c r="M60" s="64"/>
      <c r="N60" s="96"/>
    </row>
    <row r="61" spans="1:14" outlineLevel="1" x14ac:dyDescent="0.35">
      <c r="A61" s="66" t="s">
        <v>149</v>
      </c>
      <c r="B61" s="95" t="s">
        <v>147</v>
      </c>
      <c r="C61" s="187"/>
      <c r="E61" s="91"/>
      <c r="F61" s="199">
        <f t="shared" si="0"/>
        <v>0</v>
      </c>
      <c r="G61" s="92"/>
      <c r="H61" s="64"/>
      <c r="L61" s="64"/>
      <c r="M61" s="64"/>
      <c r="N61" s="96"/>
    </row>
    <row r="62" spans="1:14" outlineLevel="1" x14ac:dyDescent="0.35">
      <c r="A62" s="66" t="s">
        <v>150</v>
      </c>
      <c r="B62" s="95" t="s">
        <v>147</v>
      </c>
      <c r="C62" s="187"/>
      <c r="E62" s="91"/>
      <c r="F62" s="199">
        <f t="shared" si="0"/>
        <v>0</v>
      </c>
      <c r="G62" s="92"/>
      <c r="H62" s="64"/>
      <c r="L62" s="64"/>
      <c r="M62" s="64"/>
      <c r="N62" s="96"/>
    </row>
    <row r="63" spans="1:14" outlineLevel="1" x14ac:dyDescent="0.35">
      <c r="A63" s="66" t="s">
        <v>151</v>
      </c>
      <c r="B63" s="95" t="s">
        <v>147</v>
      </c>
      <c r="C63" s="187"/>
      <c r="E63" s="91"/>
      <c r="F63" s="199">
        <f t="shared" si="0"/>
        <v>0</v>
      </c>
      <c r="G63" s="92"/>
      <c r="H63" s="64"/>
      <c r="L63" s="64"/>
      <c r="M63" s="64"/>
      <c r="N63" s="96"/>
    </row>
    <row r="64" spans="1:14" outlineLevel="1" x14ac:dyDescent="0.35">
      <c r="A64" s="66" t="s">
        <v>152</v>
      </c>
      <c r="B64" s="95" t="s">
        <v>147</v>
      </c>
      <c r="C64" s="190"/>
      <c r="D64" s="96"/>
      <c r="E64" s="96"/>
      <c r="F64" s="199">
        <f t="shared" si="0"/>
        <v>0</v>
      </c>
      <c r="G64" s="94"/>
      <c r="H64" s="64"/>
      <c r="L64" s="64"/>
      <c r="M64" s="64"/>
      <c r="N64" s="96"/>
    </row>
    <row r="65" spans="1:14" ht="15" customHeight="1" x14ac:dyDescent="0.35">
      <c r="A65" s="85"/>
      <c r="B65" s="86" t="s">
        <v>153</v>
      </c>
      <c r="C65" s="135" t="s">
        <v>1393</v>
      </c>
      <c r="D65" s="135" t="s">
        <v>1394</v>
      </c>
      <c r="E65" s="87"/>
      <c r="F65" s="88" t="s">
        <v>154</v>
      </c>
      <c r="G65" s="97" t="s">
        <v>155</v>
      </c>
      <c r="H65" s="64"/>
      <c r="L65" s="64"/>
      <c r="M65" s="64"/>
      <c r="N65" s="96"/>
    </row>
    <row r="66" spans="1:14" x14ac:dyDescent="0.35">
      <c r="A66" s="66" t="s">
        <v>156</v>
      </c>
      <c r="B66" s="83" t="s">
        <v>1442</v>
      </c>
      <c r="C66" s="424">
        <f>WAL_CONTRACTUAL_YEARS</f>
        <v>6.6740726188956998</v>
      </c>
      <c r="D66" s="424">
        <f>WAL_EXPECTED_YEARS</f>
        <v>4.9142979689708293</v>
      </c>
      <c r="E66" s="80"/>
      <c r="F66" s="98"/>
      <c r="G66" s="99"/>
      <c r="H66" s="64"/>
      <c r="L66" s="64"/>
      <c r="M66" s="64"/>
      <c r="N66" s="96"/>
    </row>
    <row r="67" spans="1:14" x14ac:dyDescent="0.35">
      <c r="B67" s="83"/>
      <c r="E67" s="80"/>
      <c r="F67" s="98"/>
      <c r="G67" s="99"/>
      <c r="H67" s="64"/>
      <c r="L67" s="64"/>
      <c r="M67" s="64"/>
      <c r="N67" s="96"/>
    </row>
    <row r="68" spans="1:14" x14ac:dyDescent="0.35">
      <c r="B68" s="83" t="s">
        <v>1387</v>
      </c>
      <c r="C68" s="80"/>
      <c r="D68" s="80"/>
      <c r="E68" s="80"/>
      <c r="F68" s="99"/>
      <c r="G68" s="99"/>
      <c r="H68" s="64"/>
      <c r="L68" s="64"/>
      <c r="M68" s="64"/>
      <c r="N68" s="96"/>
    </row>
    <row r="69" spans="1:14" x14ac:dyDescent="0.35">
      <c r="B69" s="83" t="s">
        <v>158</v>
      </c>
      <c r="E69" s="80"/>
      <c r="F69" s="99"/>
      <c r="G69" s="99"/>
      <c r="H69" s="64"/>
      <c r="L69" s="64"/>
      <c r="M69" s="64"/>
      <c r="N69" s="96"/>
    </row>
    <row r="70" spans="1:14" x14ac:dyDescent="0.35">
      <c r="A70" s="66" t="s">
        <v>159</v>
      </c>
      <c r="B70" s="176" t="s">
        <v>1533</v>
      </c>
      <c r="C70" s="424">
        <f>PRETS_REMBOURSEMENT_CRD_0_1_AN/1000000</f>
        <v>545.76470193</v>
      </c>
      <c r="D70" s="424">
        <f>CRD_PRETS_SEASONING_INF_12_MONTHS/1000000</f>
        <v>177.53993500999999</v>
      </c>
      <c r="E70" s="62"/>
      <c r="F70" s="199">
        <f t="shared" ref="F70:F76" si="1">IF($C$77=0,"",IF(C70="[for completion]","",C70/$C$77))</f>
        <v>9.3578641318153244E-2</v>
      </c>
      <c r="G70" s="199">
        <f>IF($D$77=0,"",IF(D70="[Mark as ND1 if not relevant]","",D70/$D$77))</f>
        <v>3.044159110912955E-2</v>
      </c>
      <c r="H70" s="64"/>
      <c r="L70" s="64"/>
      <c r="M70" s="64"/>
      <c r="N70" s="96"/>
    </row>
    <row r="71" spans="1:14" x14ac:dyDescent="0.35">
      <c r="A71" s="66" t="s">
        <v>160</v>
      </c>
      <c r="B71" s="177" t="s">
        <v>1534</v>
      </c>
      <c r="C71" s="424">
        <f>PRETS_REMBOURSEMENT_CRD_1_2_ANS/1000000</f>
        <v>536.80796801999998</v>
      </c>
      <c r="D71" s="424">
        <f>CRD_PRETS_SEASONING_12_24_MONTHS/1000000</f>
        <v>410.93246467</v>
      </c>
      <c r="E71" s="62"/>
      <c r="F71" s="199">
        <f t="shared" si="1"/>
        <v>9.2042889762616514E-2</v>
      </c>
      <c r="G71" s="199">
        <f t="shared" ref="G71:G76" si="2">IF($D$77=0,"",IF(D71="[Mark as ND1 if not relevant]","",D71/$D$77))</f>
        <v>7.0459854917973061E-2</v>
      </c>
      <c r="H71" s="64"/>
      <c r="L71" s="64"/>
      <c r="M71" s="64"/>
      <c r="N71" s="96"/>
    </row>
    <row r="72" spans="1:14" x14ac:dyDescent="0.35">
      <c r="A72" s="66" t="s">
        <v>161</v>
      </c>
      <c r="B72" s="176" t="s">
        <v>1535</v>
      </c>
      <c r="C72" s="424">
        <f>PRETS_REMBOURSEMENT_CRD_2_3_ANS/1000000</f>
        <v>519.35036255</v>
      </c>
      <c r="D72" s="424">
        <f>CRD_PRETS_SEASONING_24_36_MONTHS/1000000</f>
        <v>541.02197583000009</v>
      </c>
      <c r="E72" s="62"/>
      <c r="F72" s="199">
        <f t="shared" si="1"/>
        <v>8.9049550334885458E-2</v>
      </c>
      <c r="G72" s="199">
        <f t="shared" si="2"/>
        <v>9.27654376371298E-2</v>
      </c>
      <c r="H72" s="64"/>
      <c r="L72" s="64"/>
      <c r="M72" s="64"/>
      <c r="N72" s="96"/>
    </row>
    <row r="73" spans="1:14" x14ac:dyDescent="0.35">
      <c r="A73" s="66" t="s">
        <v>162</v>
      </c>
      <c r="B73" s="176" t="s">
        <v>1536</v>
      </c>
      <c r="C73" s="424">
        <f>PRETS_REMBOURSEMENT_CRD_3_4_ANS/1000000</f>
        <v>492.23902687999998</v>
      </c>
      <c r="D73" s="424">
        <f>CRD_PRETS_SEASONING_36_48_MONTHS/1000000</f>
        <v>698.32622290999996</v>
      </c>
      <c r="E73" s="62"/>
      <c r="F73" s="199">
        <f t="shared" si="1"/>
        <v>8.4400950036355366E-2</v>
      </c>
      <c r="G73" s="199">
        <f t="shared" si="2"/>
        <v>0.11973735000754451</v>
      </c>
      <c r="H73" s="64"/>
      <c r="L73" s="64"/>
      <c r="M73" s="64"/>
      <c r="N73" s="96"/>
    </row>
    <row r="74" spans="1:14" x14ac:dyDescent="0.35">
      <c r="A74" s="66" t="s">
        <v>163</v>
      </c>
      <c r="B74" s="176" t="s">
        <v>1537</v>
      </c>
      <c r="C74" s="424">
        <f>PRETS_REMBOURSEMENT_CRD_4_5_ANS/1000000</f>
        <v>467.39760598999999</v>
      </c>
      <c r="D74" s="424">
        <f>CRD_PRETS_SEASONING_48_60_MONTHS/1000000</f>
        <v>1010.2794421799999</v>
      </c>
      <c r="E74" s="62"/>
      <c r="F74" s="199">
        <f t="shared" si="1"/>
        <v>8.0141556918629064E-2</v>
      </c>
      <c r="G74" s="199">
        <f t="shared" si="2"/>
        <v>0.17322589243412073</v>
      </c>
      <c r="H74" s="64"/>
      <c r="L74" s="64"/>
      <c r="M74" s="64"/>
      <c r="N74" s="96"/>
    </row>
    <row r="75" spans="1:14" x14ac:dyDescent="0.35">
      <c r="A75" s="66" t="s">
        <v>164</v>
      </c>
      <c r="B75" s="176" t="s">
        <v>1538</v>
      </c>
      <c r="C75" s="424">
        <f>PRETS_REMBOURSEMENT_CRD_5_10_ANS/1000000</f>
        <v>1900.58055857</v>
      </c>
      <c r="D75" s="424">
        <f>CRD_PRETS_SEASONING_60_120_MONTHS/1000000</f>
        <v>2769.9782737300002</v>
      </c>
      <c r="E75" s="62"/>
      <c r="F75" s="199">
        <f t="shared" si="1"/>
        <v>0.32587989981347121</v>
      </c>
      <c r="G75" s="199">
        <f t="shared" si="2"/>
        <v>0.47494974009825841</v>
      </c>
      <c r="H75" s="64"/>
      <c r="L75" s="64"/>
      <c r="M75" s="64"/>
      <c r="N75" s="96"/>
    </row>
    <row r="76" spans="1:14" x14ac:dyDescent="0.35">
      <c r="A76" s="66" t="s">
        <v>165</v>
      </c>
      <c r="B76" s="176" t="s">
        <v>1539</v>
      </c>
      <c r="C76" s="424">
        <f>PRETS_REMBOURSEMENT_CRD_APRES_10_ANS/1000000</f>
        <v>1370.0100855999999</v>
      </c>
      <c r="D76" s="424">
        <f>CRD_PRETS_SEASONING_SUP_120_MONTHS/1000000</f>
        <v>224.07199521000001</v>
      </c>
      <c r="E76" s="62"/>
      <c r="F76" s="199">
        <f t="shared" si="1"/>
        <v>0.23490651181588923</v>
      </c>
      <c r="G76" s="199">
        <f t="shared" si="2"/>
        <v>3.8420133795844039E-2</v>
      </c>
      <c r="H76" s="64"/>
      <c r="L76" s="64"/>
      <c r="M76" s="64"/>
      <c r="N76" s="96"/>
    </row>
    <row r="77" spans="1:14" x14ac:dyDescent="0.35">
      <c r="A77" s="66" t="s">
        <v>166</v>
      </c>
      <c r="B77" s="100" t="s">
        <v>145</v>
      </c>
      <c r="C77" s="189">
        <f>SUM(C70:C76)</f>
        <v>5832.1503095399994</v>
      </c>
      <c r="D77" s="189">
        <f>SUM(D70:D76)</f>
        <v>5832.1503095399994</v>
      </c>
      <c r="E77" s="83"/>
      <c r="F77" s="200">
        <f>SUM(F70:F76)</f>
        <v>1.0000000000000002</v>
      </c>
      <c r="G77" s="200">
        <f>SUM(G70:G76)</f>
        <v>1.0000000000000002</v>
      </c>
      <c r="H77" s="64"/>
      <c r="L77" s="64"/>
      <c r="M77" s="64"/>
      <c r="N77" s="96"/>
    </row>
    <row r="78" spans="1:14" outlineLevel="1" x14ac:dyDescent="0.35">
      <c r="A78" s="66" t="s">
        <v>167</v>
      </c>
      <c r="B78" s="101" t="s">
        <v>168</v>
      </c>
      <c r="C78" s="189"/>
      <c r="D78" s="189"/>
      <c r="E78" s="83"/>
      <c r="F78" s="199">
        <f>IF($C$77=0,"",IF(C78="[for completion]","",C78/$C$77))</f>
        <v>0</v>
      </c>
      <c r="G78" s="199">
        <f t="shared" ref="G78:G87" si="3">IF($D$77=0,"",IF(D78="[for completion]","",D78/$D$77))</f>
        <v>0</v>
      </c>
      <c r="H78" s="64"/>
      <c r="L78" s="64"/>
      <c r="M78" s="64"/>
      <c r="N78" s="96"/>
    </row>
    <row r="79" spans="1:14" outlineLevel="1" x14ac:dyDescent="0.35">
      <c r="A79" s="66" t="s">
        <v>169</v>
      </c>
      <c r="B79" s="101" t="s">
        <v>170</v>
      </c>
      <c r="C79" s="189"/>
      <c r="D79" s="189"/>
      <c r="E79" s="83"/>
      <c r="F79" s="199">
        <f t="shared" ref="F79:F87" si="4">IF($C$77=0,"",IF(C79="[for completion]","",C79/$C$77))</f>
        <v>0</v>
      </c>
      <c r="G79" s="199">
        <f t="shared" si="3"/>
        <v>0</v>
      </c>
      <c r="H79" s="64"/>
      <c r="L79" s="64"/>
      <c r="M79" s="64"/>
      <c r="N79" s="96"/>
    </row>
    <row r="80" spans="1:14" outlineLevel="1" x14ac:dyDescent="0.35">
      <c r="A80" s="66" t="s">
        <v>171</v>
      </c>
      <c r="B80" s="101" t="s">
        <v>172</v>
      </c>
      <c r="C80" s="189"/>
      <c r="D80" s="189"/>
      <c r="E80" s="83"/>
      <c r="F80" s="199">
        <f t="shared" si="4"/>
        <v>0</v>
      </c>
      <c r="G80" s="199">
        <f t="shared" si="3"/>
        <v>0</v>
      </c>
      <c r="H80" s="64"/>
      <c r="L80" s="64"/>
      <c r="M80" s="64"/>
      <c r="N80" s="96"/>
    </row>
    <row r="81" spans="1:14" outlineLevel="1" x14ac:dyDescent="0.35">
      <c r="A81" s="66" t="s">
        <v>173</v>
      </c>
      <c r="B81" s="101" t="s">
        <v>174</v>
      </c>
      <c r="C81" s="189"/>
      <c r="D81" s="189"/>
      <c r="E81" s="83"/>
      <c r="F81" s="199">
        <f t="shared" si="4"/>
        <v>0</v>
      </c>
      <c r="G81" s="199">
        <f t="shared" si="3"/>
        <v>0</v>
      </c>
      <c r="H81" s="64"/>
      <c r="L81" s="64"/>
      <c r="M81" s="64"/>
      <c r="N81" s="96"/>
    </row>
    <row r="82" spans="1:14" outlineLevel="1" x14ac:dyDescent="0.35">
      <c r="A82" s="66" t="s">
        <v>175</v>
      </c>
      <c r="B82" s="101" t="s">
        <v>176</v>
      </c>
      <c r="C82" s="189"/>
      <c r="D82" s="189"/>
      <c r="E82" s="83"/>
      <c r="F82" s="199">
        <f t="shared" si="4"/>
        <v>0</v>
      </c>
      <c r="G82" s="199">
        <f t="shared" si="3"/>
        <v>0</v>
      </c>
      <c r="H82" s="64"/>
      <c r="L82" s="64"/>
      <c r="M82" s="64"/>
      <c r="N82" s="96"/>
    </row>
    <row r="83" spans="1:14" outlineLevel="1" x14ac:dyDescent="0.35">
      <c r="A83" s="66" t="s">
        <v>177</v>
      </c>
      <c r="B83" s="101"/>
      <c r="C83" s="91"/>
      <c r="D83" s="91"/>
      <c r="E83" s="83"/>
      <c r="F83" s="92"/>
      <c r="G83" s="92"/>
      <c r="H83" s="64"/>
      <c r="L83" s="64"/>
      <c r="M83" s="64"/>
      <c r="N83" s="96"/>
    </row>
    <row r="84" spans="1:14" outlineLevel="1" x14ac:dyDescent="0.35">
      <c r="A84" s="66" t="s">
        <v>178</v>
      </c>
      <c r="B84" s="101"/>
      <c r="C84" s="91"/>
      <c r="D84" s="91"/>
      <c r="E84" s="83"/>
      <c r="F84" s="92"/>
      <c r="G84" s="92"/>
      <c r="H84" s="64"/>
      <c r="L84" s="64"/>
      <c r="M84" s="64"/>
      <c r="N84" s="96"/>
    </row>
    <row r="85" spans="1:14" outlineLevel="1" x14ac:dyDescent="0.35">
      <c r="A85" s="66" t="s">
        <v>179</v>
      </c>
      <c r="B85" s="101"/>
      <c r="C85" s="91"/>
      <c r="D85" s="91"/>
      <c r="E85" s="83"/>
      <c r="F85" s="92"/>
      <c r="G85" s="92"/>
      <c r="H85" s="64"/>
      <c r="L85" s="64"/>
      <c r="M85" s="64"/>
      <c r="N85" s="96"/>
    </row>
    <row r="86" spans="1:14" outlineLevel="1" x14ac:dyDescent="0.35">
      <c r="A86" s="66" t="s">
        <v>180</v>
      </c>
      <c r="B86" s="100"/>
      <c r="C86" s="91"/>
      <c r="D86" s="91"/>
      <c r="E86" s="83"/>
      <c r="F86" s="92">
        <f t="shared" si="4"/>
        <v>0</v>
      </c>
      <c r="G86" s="92">
        <f t="shared" si="3"/>
        <v>0</v>
      </c>
      <c r="H86" s="64"/>
      <c r="L86" s="64"/>
      <c r="M86" s="64"/>
      <c r="N86" s="96"/>
    </row>
    <row r="87" spans="1:14" outlineLevel="1" x14ac:dyDescent="0.35">
      <c r="A87" s="66" t="s">
        <v>181</v>
      </c>
      <c r="B87" s="101"/>
      <c r="C87" s="91"/>
      <c r="D87" s="91"/>
      <c r="E87" s="83"/>
      <c r="F87" s="92">
        <f t="shared" si="4"/>
        <v>0</v>
      </c>
      <c r="G87" s="92">
        <f t="shared" si="3"/>
        <v>0</v>
      </c>
      <c r="H87" s="64"/>
      <c r="L87" s="64"/>
      <c r="M87" s="64"/>
      <c r="N87" s="96"/>
    </row>
    <row r="88" spans="1:14" ht="15" customHeight="1" x14ac:dyDescent="0.35">
      <c r="A88" s="85"/>
      <c r="B88" s="86" t="s">
        <v>182</v>
      </c>
      <c r="C88" s="135" t="s">
        <v>1395</v>
      </c>
      <c r="D88" s="135" t="s">
        <v>1396</v>
      </c>
      <c r="E88" s="87"/>
      <c r="F88" s="88" t="s">
        <v>183</v>
      </c>
      <c r="G88" s="85" t="s">
        <v>184</v>
      </c>
      <c r="H88" s="64"/>
      <c r="L88" s="64"/>
      <c r="M88" s="64"/>
      <c r="N88" s="96"/>
    </row>
    <row r="89" spans="1:14" x14ac:dyDescent="0.35">
      <c r="A89" s="66" t="s">
        <v>185</v>
      </c>
      <c r="B89" s="83" t="s">
        <v>157</v>
      </c>
      <c r="C89" s="424">
        <f>WAL_BONDS_YEARS</f>
        <v>3.7246504351227099</v>
      </c>
      <c r="D89" s="425">
        <f>BONDS_EXTENDED_MATURITY_YEARS</f>
        <v>4.0101691600664893</v>
      </c>
      <c r="E89" s="80"/>
      <c r="F89" s="205"/>
      <c r="G89" s="206"/>
      <c r="H89" s="64"/>
      <c r="L89" s="64"/>
      <c r="M89" s="64"/>
      <c r="N89" s="96"/>
    </row>
    <row r="90" spans="1:14" x14ac:dyDescent="0.35">
      <c r="B90" s="83"/>
      <c r="C90" s="191"/>
      <c r="D90" s="191"/>
      <c r="E90" s="80"/>
      <c r="F90" s="205"/>
      <c r="G90" s="206"/>
      <c r="H90" s="64"/>
      <c r="L90" s="64"/>
      <c r="M90" s="64"/>
      <c r="N90" s="96"/>
    </row>
    <row r="91" spans="1:14" x14ac:dyDescent="0.35">
      <c r="B91" s="83" t="s">
        <v>1388</v>
      </c>
      <c r="C91" s="204"/>
      <c r="D91" s="204"/>
      <c r="E91" s="80"/>
      <c r="F91" s="206"/>
      <c r="G91" s="206"/>
      <c r="H91" s="64"/>
      <c r="L91" s="64"/>
      <c r="M91" s="64"/>
      <c r="N91" s="96"/>
    </row>
    <row r="92" spans="1:14" x14ac:dyDescent="0.35">
      <c r="A92" s="66" t="s">
        <v>186</v>
      </c>
      <c r="B92" s="83" t="s">
        <v>158</v>
      </c>
      <c r="C92" s="191"/>
      <c r="D92" s="191"/>
      <c r="E92" s="80"/>
      <c r="F92" s="206"/>
      <c r="G92" s="206"/>
      <c r="H92" s="64"/>
      <c r="L92" s="64"/>
      <c r="M92" s="64"/>
      <c r="N92" s="96"/>
    </row>
    <row r="93" spans="1:14" x14ac:dyDescent="0.35">
      <c r="A93" s="66" t="s">
        <v>187</v>
      </c>
      <c r="B93" s="177" t="s">
        <v>1533</v>
      </c>
      <c r="C93" s="424">
        <f>BONDS_AMOUNT_EXPIRE_0_1_AN/1000000</f>
        <v>0</v>
      </c>
      <c r="D93" s="187" t="s">
        <v>117</v>
      </c>
      <c r="E93" s="62"/>
      <c r="F93" s="199">
        <f>IF($C$100=0,"",IF(C93="[for completion]","",IF(C93="","",C93/$C$100)))</f>
        <v>0</v>
      </c>
      <c r="G93" s="199" t="str">
        <f>IF($D$100=0,"",IF(D93="[Mark as ND1 if not relevant]","",IF(D93="","",D93/$D$100)))</f>
        <v/>
      </c>
      <c r="H93" s="64"/>
      <c r="L93" s="64"/>
      <c r="M93" s="64"/>
      <c r="N93" s="96"/>
    </row>
    <row r="94" spans="1:14" x14ac:dyDescent="0.35">
      <c r="A94" s="66" t="s">
        <v>188</v>
      </c>
      <c r="B94" s="177" t="s">
        <v>1534</v>
      </c>
      <c r="C94" s="424">
        <f>BONDS_AMOUNT_EXPIRE_1_2_ANS/1000000</f>
        <v>1000</v>
      </c>
      <c r="D94" s="187" t="s">
        <v>117</v>
      </c>
      <c r="E94" s="62"/>
      <c r="F94" s="199">
        <f t="shared" ref="F94:F99" si="5">IF($C$100=0,"",IF(C94="[for completion]","",IF(C94="","",C94/$C$100)))</f>
        <v>0.2857142857142857</v>
      </c>
      <c r="G94" s="199" t="str">
        <f t="shared" ref="G94:G99" si="6">IF($D$100=0,"",IF(D94="[Mark as ND1 if not relevant]","",IF(D94="","",D94/$D$100)))</f>
        <v/>
      </c>
      <c r="H94" s="64"/>
      <c r="L94" s="64"/>
      <c r="M94" s="64"/>
      <c r="N94" s="96"/>
    </row>
    <row r="95" spans="1:14" x14ac:dyDescent="0.35">
      <c r="A95" s="66" t="s">
        <v>189</v>
      </c>
      <c r="B95" s="177" t="s">
        <v>1535</v>
      </c>
      <c r="C95" s="424">
        <f>BONDS_AMOUNT_EXPIRE_2_3_ANS/1000000</f>
        <v>0</v>
      </c>
      <c r="D95" s="187" t="s">
        <v>117</v>
      </c>
      <c r="E95" s="62"/>
      <c r="F95" s="199">
        <f t="shared" si="5"/>
        <v>0</v>
      </c>
      <c r="G95" s="199" t="str">
        <f t="shared" si="6"/>
        <v/>
      </c>
      <c r="H95" s="64"/>
      <c r="L95" s="64"/>
      <c r="M95" s="64"/>
      <c r="N95" s="96"/>
    </row>
    <row r="96" spans="1:14" x14ac:dyDescent="0.35">
      <c r="A96" s="66" t="s">
        <v>190</v>
      </c>
      <c r="B96" s="177" t="s">
        <v>1536</v>
      </c>
      <c r="C96" s="424">
        <f>BONDS_AMOUNT_EXPIRE_3_4_ANS/1000000</f>
        <v>1250</v>
      </c>
      <c r="D96" s="187" t="s">
        <v>117</v>
      </c>
      <c r="E96" s="62"/>
      <c r="F96" s="199">
        <f t="shared" si="5"/>
        <v>0.35714285714285715</v>
      </c>
      <c r="G96" s="199" t="str">
        <f t="shared" si="6"/>
        <v/>
      </c>
      <c r="H96" s="64"/>
      <c r="L96" s="64"/>
      <c r="M96" s="64"/>
      <c r="N96" s="96"/>
    </row>
    <row r="97" spans="1:14" x14ac:dyDescent="0.35">
      <c r="A97" s="66" t="s">
        <v>191</v>
      </c>
      <c r="B97" s="177" t="s">
        <v>1537</v>
      </c>
      <c r="C97" s="424">
        <f>BONDS_AMOUNT_EXPIRE_4_5_ANS/1000000</f>
        <v>750</v>
      </c>
      <c r="D97" s="187" t="s">
        <v>117</v>
      </c>
      <c r="E97" s="62"/>
      <c r="F97" s="199">
        <f t="shared" si="5"/>
        <v>0.21428571428571427</v>
      </c>
      <c r="G97" s="199" t="str">
        <f t="shared" si="6"/>
        <v/>
      </c>
      <c r="H97" s="64"/>
      <c r="L97" s="64"/>
      <c r="M97" s="64"/>
    </row>
    <row r="98" spans="1:14" x14ac:dyDescent="0.35">
      <c r="A98" s="66" t="s">
        <v>192</v>
      </c>
      <c r="B98" s="177" t="s">
        <v>1538</v>
      </c>
      <c r="C98" s="424">
        <f>BONDS_AMOUNT_EXPIRE_5_10_ANS/1000000</f>
        <v>500</v>
      </c>
      <c r="D98" s="187" t="s">
        <v>117</v>
      </c>
      <c r="E98" s="62"/>
      <c r="F98" s="199">
        <f t="shared" si="5"/>
        <v>0.14285714285714285</v>
      </c>
      <c r="G98" s="199" t="str">
        <f t="shared" si="6"/>
        <v/>
      </c>
      <c r="H98" s="64"/>
      <c r="L98" s="64"/>
      <c r="M98" s="64"/>
    </row>
    <row r="99" spans="1:14" x14ac:dyDescent="0.35">
      <c r="A99" s="66" t="s">
        <v>193</v>
      </c>
      <c r="B99" s="177" t="s">
        <v>1539</v>
      </c>
      <c r="C99" s="424">
        <f>BONDS_AMOUNT_EXPIRE_APRES_10_ANS/1000000</f>
        <v>0</v>
      </c>
      <c r="D99" s="187" t="s">
        <v>117</v>
      </c>
      <c r="E99" s="62"/>
      <c r="F99" s="199">
        <f t="shared" si="5"/>
        <v>0</v>
      </c>
      <c r="G99" s="199" t="str">
        <f t="shared" si="6"/>
        <v/>
      </c>
      <c r="H99" s="64"/>
      <c r="L99" s="64"/>
      <c r="M99" s="64"/>
    </row>
    <row r="100" spans="1:14" x14ac:dyDescent="0.35">
      <c r="A100" s="66" t="s">
        <v>194</v>
      </c>
      <c r="B100" s="100" t="s">
        <v>145</v>
      </c>
      <c r="C100" s="189">
        <f>SUM(C93:C99)</f>
        <v>3500</v>
      </c>
      <c r="D100" s="189">
        <f>SUM(D93:D99)</f>
        <v>0</v>
      </c>
      <c r="E100" s="83"/>
      <c r="F100" s="200">
        <f>SUM(F93:F99)</f>
        <v>1</v>
      </c>
      <c r="G100" s="200">
        <f>SUM(G93:G99)</f>
        <v>0</v>
      </c>
      <c r="H100" s="64"/>
      <c r="L100" s="64"/>
      <c r="M100" s="64"/>
    </row>
    <row r="101" spans="1:14" outlineLevel="1" x14ac:dyDescent="0.35">
      <c r="A101" s="66" t="s">
        <v>195</v>
      </c>
      <c r="B101" s="101" t="s">
        <v>168</v>
      </c>
      <c r="C101" s="189"/>
      <c r="D101" s="189"/>
      <c r="E101" s="83"/>
      <c r="F101" s="199">
        <f>IF($C$100=0,"",IF(C101="[for completion]","",C101/$C$100))</f>
        <v>0</v>
      </c>
      <c r="G101" s="199" t="str">
        <f>IF($D$100=0,"",IF(D101="[for completion]","",D101/$D$100))</f>
        <v/>
      </c>
      <c r="H101" s="64"/>
      <c r="L101" s="64"/>
      <c r="M101" s="64"/>
    </row>
    <row r="102" spans="1:14" outlineLevel="1" x14ac:dyDescent="0.35">
      <c r="A102" s="66" t="s">
        <v>196</v>
      </c>
      <c r="B102" s="101" t="s">
        <v>170</v>
      </c>
      <c r="C102" s="189"/>
      <c r="D102" s="189"/>
      <c r="E102" s="83"/>
      <c r="F102" s="199">
        <f>IF($C$100=0,"",IF(C102="[for completion]","",C102/$C$100))</f>
        <v>0</v>
      </c>
      <c r="G102" s="199" t="str">
        <f>IF($D$100=0,"",IF(D102="[for completion]","",D102/$D$100))</f>
        <v/>
      </c>
      <c r="H102" s="64"/>
      <c r="L102" s="64"/>
      <c r="M102" s="64"/>
    </row>
    <row r="103" spans="1:14" outlineLevel="1" x14ac:dyDescent="0.35">
      <c r="A103" s="66" t="s">
        <v>197</v>
      </c>
      <c r="B103" s="101" t="s">
        <v>172</v>
      </c>
      <c r="C103" s="189"/>
      <c r="D103" s="189"/>
      <c r="E103" s="83"/>
      <c r="F103" s="199">
        <f>IF($C$100=0,"",IF(C103="[for completion]","",C103/$C$100))</f>
        <v>0</v>
      </c>
      <c r="G103" s="199" t="str">
        <f>IF($D$100=0,"",IF(D103="[for completion]","",D103/$D$100))</f>
        <v/>
      </c>
      <c r="H103" s="64"/>
      <c r="L103" s="64"/>
      <c r="M103" s="64"/>
    </row>
    <row r="104" spans="1:14" outlineLevel="1" x14ac:dyDescent="0.35">
      <c r="A104" s="66" t="s">
        <v>198</v>
      </c>
      <c r="B104" s="101" t="s">
        <v>174</v>
      </c>
      <c r="C104" s="189"/>
      <c r="D104" s="189"/>
      <c r="E104" s="83"/>
      <c r="F104" s="199">
        <f>IF($C$100=0,"",IF(C104="[for completion]","",C104/$C$100))</f>
        <v>0</v>
      </c>
      <c r="G104" s="199" t="str">
        <f>IF($D$100=0,"",IF(D104="[for completion]","",D104/$D$100))</f>
        <v/>
      </c>
      <c r="H104" s="64"/>
      <c r="L104" s="64"/>
      <c r="M104" s="64"/>
    </row>
    <row r="105" spans="1:14" outlineLevel="1" x14ac:dyDescent="0.35">
      <c r="A105" s="66" t="s">
        <v>199</v>
      </c>
      <c r="B105" s="101" t="s">
        <v>176</v>
      </c>
      <c r="C105" s="189"/>
      <c r="D105" s="189"/>
      <c r="E105" s="83"/>
      <c r="F105" s="199">
        <f>IF($C$100=0,"",IF(C105="[for completion]","",C105/$C$100))</f>
        <v>0</v>
      </c>
      <c r="G105" s="199" t="str">
        <f>IF($D$100=0,"",IF(D105="[for completion]","",D105/$D$100))</f>
        <v/>
      </c>
      <c r="H105" s="64"/>
      <c r="L105" s="64"/>
      <c r="M105" s="64"/>
    </row>
    <row r="106" spans="1:14" outlineLevel="1" x14ac:dyDescent="0.35">
      <c r="A106" s="66" t="s">
        <v>200</v>
      </c>
      <c r="B106" s="101"/>
      <c r="C106" s="91"/>
      <c r="D106" s="91"/>
      <c r="E106" s="83"/>
      <c r="F106" s="92"/>
      <c r="G106" s="92"/>
      <c r="H106" s="64"/>
      <c r="L106" s="64"/>
      <c r="M106" s="64"/>
    </row>
    <row r="107" spans="1:14" outlineLevel="1" x14ac:dyDescent="0.35">
      <c r="A107" s="66" t="s">
        <v>201</v>
      </c>
      <c r="B107" s="101"/>
      <c r="C107" s="91"/>
      <c r="D107" s="91"/>
      <c r="E107" s="83"/>
      <c r="F107" s="92"/>
      <c r="G107" s="92"/>
      <c r="H107" s="64"/>
      <c r="L107" s="64"/>
      <c r="M107" s="64"/>
    </row>
    <row r="108" spans="1:14" outlineLevel="1" x14ac:dyDescent="0.35">
      <c r="A108" s="66" t="s">
        <v>202</v>
      </c>
      <c r="B108" s="100"/>
      <c r="C108" s="91"/>
      <c r="D108" s="91"/>
      <c r="E108" s="83"/>
      <c r="F108" s="92"/>
      <c r="G108" s="92"/>
      <c r="H108" s="64"/>
      <c r="L108" s="64"/>
      <c r="M108" s="64"/>
    </row>
    <row r="109" spans="1:14" outlineLevel="1" x14ac:dyDescent="0.35">
      <c r="A109" s="66" t="s">
        <v>203</v>
      </c>
      <c r="B109" s="101"/>
      <c r="C109" s="91"/>
      <c r="D109" s="91"/>
      <c r="E109" s="83"/>
      <c r="F109" s="92"/>
      <c r="G109" s="92"/>
      <c r="H109" s="64"/>
      <c r="L109" s="64"/>
      <c r="M109" s="64"/>
    </row>
    <row r="110" spans="1:14" outlineLevel="1" x14ac:dyDescent="0.35">
      <c r="A110" s="66" t="s">
        <v>204</v>
      </c>
      <c r="B110" s="101"/>
      <c r="C110" s="91"/>
      <c r="D110" s="91"/>
      <c r="E110" s="83"/>
      <c r="F110" s="92"/>
      <c r="G110" s="92"/>
      <c r="H110" s="64"/>
      <c r="L110" s="64"/>
      <c r="M110" s="64"/>
    </row>
    <row r="111" spans="1:14" ht="15" customHeight="1" x14ac:dyDescent="0.35">
      <c r="A111" s="85"/>
      <c r="B111" s="192" t="s">
        <v>1564</v>
      </c>
      <c r="C111" s="88" t="s">
        <v>205</v>
      </c>
      <c r="D111" s="88" t="s">
        <v>206</v>
      </c>
      <c r="E111" s="87"/>
      <c r="F111" s="88" t="s">
        <v>207</v>
      </c>
      <c r="G111" s="88" t="s">
        <v>208</v>
      </c>
      <c r="H111" s="64"/>
      <c r="L111" s="64"/>
      <c r="M111" s="64"/>
    </row>
    <row r="112" spans="1:14" s="102" customFormat="1" x14ac:dyDescent="0.35">
      <c r="A112" s="66" t="s">
        <v>209</v>
      </c>
      <c r="B112" s="83" t="s">
        <v>210</v>
      </c>
      <c r="C112" s="424">
        <f>CRD_PRETS_SELECTION/1000000</f>
        <v>5832.1503095400003</v>
      </c>
      <c r="D112" s="424">
        <f>IF(C112&lt;&gt;"",C112,"")</f>
        <v>5832.1503095400003</v>
      </c>
      <c r="E112" s="92"/>
      <c r="F112" s="199">
        <f t="shared" ref="F112:F129" si="7">IF($C$130=0,"",IF(C112="[for completion]","",IF(C112="","",C112/$C$130)))</f>
        <v>1</v>
      </c>
      <c r="G112" s="199">
        <f t="shared" ref="G112:G129" si="8">IF($D$130=0,"",IF(D112="[for completion]","",IF(D112="","",D112/$D$130)))</f>
        <v>1</v>
      </c>
      <c r="I112" s="66"/>
      <c r="J112" s="66"/>
      <c r="K112" s="66"/>
      <c r="L112" s="64" t="s">
        <v>1542</v>
      </c>
      <c r="M112" s="64"/>
      <c r="N112" s="64"/>
    </row>
    <row r="113" spans="1:14" s="102" customFormat="1" x14ac:dyDescent="0.35">
      <c r="A113" s="66" t="s">
        <v>211</v>
      </c>
      <c r="B113" s="83" t="s">
        <v>1543</v>
      </c>
      <c r="C113" s="187"/>
      <c r="D113" s="187"/>
      <c r="E113" s="92"/>
      <c r="F113" s="199" t="str">
        <f t="shared" si="7"/>
        <v/>
      </c>
      <c r="G113" s="199" t="str">
        <f t="shared" si="8"/>
        <v/>
      </c>
      <c r="I113" s="66"/>
      <c r="J113" s="66"/>
      <c r="K113" s="66"/>
      <c r="L113" s="83" t="s">
        <v>1543</v>
      </c>
      <c r="M113" s="64"/>
      <c r="N113" s="64"/>
    </row>
    <row r="114" spans="1:14" s="102" customFormat="1" x14ac:dyDescent="0.35">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x14ac:dyDescent="0.35">
      <c r="A115" s="66" t="s">
        <v>213</v>
      </c>
      <c r="B115" s="83" t="s">
        <v>1544</v>
      </c>
      <c r="C115" s="187"/>
      <c r="D115" s="187"/>
      <c r="E115" s="92"/>
      <c r="F115" s="199" t="str">
        <f t="shared" si="7"/>
        <v/>
      </c>
      <c r="G115" s="199" t="str">
        <f t="shared" si="8"/>
        <v/>
      </c>
      <c r="I115" s="66"/>
      <c r="J115" s="66"/>
      <c r="K115" s="66"/>
      <c r="L115" s="83" t="s">
        <v>1544</v>
      </c>
      <c r="M115" s="64"/>
      <c r="N115" s="64"/>
    </row>
    <row r="116" spans="1:14" s="102" customFormat="1" x14ac:dyDescent="0.35">
      <c r="A116" s="66" t="s">
        <v>215</v>
      </c>
      <c r="B116" s="83" t="s">
        <v>1545</v>
      </c>
      <c r="C116" s="187"/>
      <c r="D116" s="187"/>
      <c r="E116" s="92"/>
      <c r="F116" s="199" t="str">
        <f t="shared" si="7"/>
        <v/>
      </c>
      <c r="G116" s="199" t="str">
        <f t="shared" si="8"/>
        <v/>
      </c>
      <c r="I116" s="66"/>
      <c r="J116" s="66"/>
      <c r="K116" s="66"/>
      <c r="L116" s="83" t="s">
        <v>1545</v>
      </c>
      <c r="M116" s="64"/>
      <c r="N116" s="64"/>
    </row>
    <row r="117" spans="1:14" s="102" customFormat="1" x14ac:dyDescent="0.35">
      <c r="A117" s="66" t="s">
        <v>216</v>
      </c>
      <c r="B117" s="83" t="s">
        <v>221</v>
      </c>
      <c r="C117" s="187"/>
      <c r="D117" s="187"/>
      <c r="E117" s="83"/>
      <c r="F117" s="199" t="str">
        <f t="shared" si="7"/>
        <v/>
      </c>
      <c r="G117" s="199" t="str">
        <f t="shared" si="8"/>
        <v/>
      </c>
      <c r="I117" s="66"/>
      <c r="J117" s="66"/>
      <c r="K117" s="66"/>
      <c r="L117" s="83" t="s">
        <v>221</v>
      </c>
      <c r="M117" s="64"/>
      <c r="N117" s="64"/>
    </row>
    <row r="118" spans="1:14" x14ac:dyDescent="0.35">
      <c r="A118" s="66" t="s">
        <v>217</v>
      </c>
      <c r="B118" s="83" t="s">
        <v>223</v>
      </c>
      <c r="C118" s="187"/>
      <c r="D118" s="187"/>
      <c r="E118" s="83"/>
      <c r="F118" s="199" t="str">
        <f t="shared" si="7"/>
        <v/>
      </c>
      <c r="G118" s="199" t="str">
        <f t="shared" si="8"/>
        <v/>
      </c>
      <c r="L118" s="83" t="s">
        <v>223</v>
      </c>
      <c r="M118" s="64"/>
    </row>
    <row r="119" spans="1:14" x14ac:dyDescent="0.35">
      <c r="A119" s="66" t="s">
        <v>218</v>
      </c>
      <c r="B119" s="83" t="s">
        <v>1546</v>
      </c>
      <c r="C119" s="187"/>
      <c r="D119" s="187"/>
      <c r="E119" s="83"/>
      <c r="F119" s="199" t="str">
        <f t="shared" si="7"/>
        <v/>
      </c>
      <c r="G119" s="199" t="str">
        <f t="shared" si="8"/>
        <v/>
      </c>
      <c r="L119" s="83" t="s">
        <v>1546</v>
      </c>
      <c r="M119" s="64"/>
    </row>
    <row r="120" spans="1:14" x14ac:dyDescent="0.35">
      <c r="A120" s="66" t="s">
        <v>220</v>
      </c>
      <c r="B120" s="83" t="s">
        <v>225</v>
      </c>
      <c r="C120" s="187"/>
      <c r="D120" s="187"/>
      <c r="E120" s="83"/>
      <c r="F120" s="199" t="str">
        <f t="shared" si="7"/>
        <v/>
      </c>
      <c r="G120" s="199" t="str">
        <f t="shared" si="8"/>
        <v/>
      </c>
      <c r="L120" s="83" t="s">
        <v>225</v>
      </c>
      <c r="M120" s="64"/>
    </row>
    <row r="121" spans="1:14" x14ac:dyDescent="0.35">
      <c r="A121" s="66" t="s">
        <v>222</v>
      </c>
      <c r="B121" s="362" t="s">
        <v>2672</v>
      </c>
      <c r="C121" s="187"/>
      <c r="D121" s="187"/>
      <c r="E121" s="362"/>
      <c r="F121" s="199" t="str">
        <f t="shared" si="7"/>
        <v/>
      </c>
      <c r="G121" s="199" t="str">
        <f t="shared" si="8"/>
        <v/>
      </c>
      <c r="L121" s="83"/>
      <c r="M121" s="64"/>
    </row>
    <row r="122" spans="1:14" x14ac:dyDescent="0.35">
      <c r="A122" s="66" t="s">
        <v>224</v>
      </c>
      <c r="B122" s="83" t="s">
        <v>1553</v>
      </c>
      <c r="C122" s="187"/>
      <c r="D122" s="187"/>
      <c r="E122" s="83"/>
      <c r="F122" s="199" t="str">
        <f t="shared" si="7"/>
        <v/>
      </c>
      <c r="G122" s="199" t="str">
        <f t="shared" si="8"/>
        <v/>
      </c>
      <c r="L122" s="83" t="s">
        <v>227</v>
      </c>
      <c r="M122" s="64"/>
    </row>
    <row r="123" spans="1:14" x14ac:dyDescent="0.35">
      <c r="A123" s="66" t="s">
        <v>226</v>
      </c>
      <c r="B123" s="83" t="s">
        <v>227</v>
      </c>
      <c r="C123" s="187"/>
      <c r="D123" s="187"/>
      <c r="E123" s="83"/>
      <c r="F123" s="199" t="str">
        <f t="shared" si="7"/>
        <v/>
      </c>
      <c r="G123" s="199" t="str">
        <f t="shared" si="8"/>
        <v/>
      </c>
      <c r="L123" s="83" t="s">
        <v>214</v>
      </c>
      <c r="M123" s="64"/>
    </row>
    <row r="124" spans="1:14" x14ac:dyDescent="0.35">
      <c r="A124" s="66" t="s">
        <v>228</v>
      </c>
      <c r="B124" s="83" t="s">
        <v>214</v>
      </c>
      <c r="C124" s="187"/>
      <c r="D124" s="187"/>
      <c r="E124" s="83"/>
      <c r="F124" s="199" t="str">
        <f t="shared" si="7"/>
        <v/>
      </c>
      <c r="G124" s="199" t="str">
        <f t="shared" si="8"/>
        <v/>
      </c>
      <c r="L124" s="177" t="s">
        <v>1548</v>
      </c>
      <c r="M124" s="64"/>
    </row>
    <row r="125" spans="1:14" x14ac:dyDescent="0.35">
      <c r="A125" s="66" t="s">
        <v>230</v>
      </c>
      <c r="B125" s="177" t="s">
        <v>1548</v>
      </c>
      <c r="C125" s="187"/>
      <c r="D125" s="187"/>
      <c r="E125" s="83"/>
      <c r="F125" s="199" t="str">
        <f t="shared" si="7"/>
        <v/>
      </c>
      <c r="G125" s="199" t="str">
        <f t="shared" si="8"/>
        <v/>
      </c>
      <c r="L125" s="83" t="s">
        <v>229</v>
      </c>
      <c r="M125" s="64"/>
    </row>
    <row r="126" spans="1:14" x14ac:dyDescent="0.35">
      <c r="A126" s="66" t="s">
        <v>232</v>
      </c>
      <c r="B126" s="83" t="s">
        <v>229</v>
      </c>
      <c r="C126" s="187"/>
      <c r="D126" s="187"/>
      <c r="E126" s="83"/>
      <c r="F126" s="199" t="str">
        <f t="shared" si="7"/>
        <v/>
      </c>
      <c r="G126" s="199" t="str">
        <f t="shared" si="8"/>
        <v/>
      </c>
      <c r="H126" s="96"/>
      <c r="L126" s="83" t="s">
        <v>231</v>
      </c>
      <c r="M126" s="64"/>
    </row>
    <row r="127" spans="1:14" x14ac:dyDescent="0.35">
      <c r="A127" s="66" t="s">
        <v>233</v>
      </c>
      <c r="B127" s="83" t="s">
        <v>231</v>
      </c>
      <c r="C127" s="187"/>
      <c r="D127" s="187"/>
      <c r="E127" s="83"/>
      <c r="F127" s="199" t="str">
        <f t="shared" si="7"/>
        <v/>
      </c>
      <c r="G127" s="199" t="str">
        <f t="shared" si="8"/>
        <v/>
      </c>
      <c r="H127" s="64"/>
      <c r="L127" s="83" t="s">
        <v>1547</v>
      </c>
      <c r="M127" s="64"/>
    </row>
    <row r="128" spans="1:14" x14ac:dyDescent="0.35">
      <c r="A128" s="66" t="s">
        <v>1549</v>
      </c>
      <c r="B128" s="83" t="s">
        <v>1547</v>
      </c>
      <c r="C128" s="187"/>
      <c r="D128" s="187"/>
      <c r="E128" s="83"/>
      <c r="F128" s="199" t="str">
        <f t="shared" si="7"/>
        <v/>
      </c>
      <c r="G128" s="199" t="str">
        <f t="shared" si="8"/>
        <v/>
      </c>
      <c r="H128" s="64"/>
      <c r="L128" s="64"/>
      <c r="M128" s="64"/>
    </row>
    <row r="129" spans="1:14" x14ac:dyDescent="0.35">
      <c r="A129" s="66" t="s">
        <v>1552</v>
      </c>
      <c r="B129" s="83" t="s">
        <v>143</v>
      </c>
      <c r="C129" s="187"/>
      <c r="D129" s="187"/>
      <c r="E129" s="83"/>
      <c r="F129" s="199" t="str">
        <f t="shared" si="7"/>
        <v/>
      </c>
      <c r="G129" s="199" t="str">
        <f t="shared" si="8"/>
        <v/>
      </c>
      <c r="H129" s="64"/>
      <c r="L129" s="64"/>
      <c r="M129" s="64"/>
    </row>
    <row r="130" spans="1:14" outlineLevel="1" x14ac:dyDescent="0.35">
      <c r="A130" s="275" t="s">
        <v>2673</v>
      </c>
      <c r="B130" s="100" t="s">
        <v>145</v>
      </c>
      <c r="C130" s="187">
        <f>SUM(C112:C129)</f>
        <v>5832.1503095400003</v>
      </c>
      <c r="D130" s="187">
        <f>SUM(D112:D129)</f>
        <v>5832.1503095400003</v>
      </c>
      <c r="E130" s="83"/>
      <c r="F130" s="181">
        <f>SUM(F112:F129)</f>
        <v>1</v>
      </c>
      <c r="G130" s="181">
        <f>SUM(G112:G129)</f>
        <v>1</v>
      </c>
      <c r="H130" s="64"/>
      <c r="L130" s="64"/>
      <c r="M130" s="64"/>
    </row>
    <row r="131" spans="1:14" outlineLevel="1" x14ac:dyDescent="0.35">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5">
      <c r="A132" s="275" t="s">
        <v>235</v>
      </c>
      <c r="B132" s="95" t="s">
        <v>147</v>
      </c>
      <c r="C132" s="187"/>
      <c r="D132" s="187"/>
      <c r="E132" s="83"/>
      <c r="F132" s="199">
        <f t="shared" si="9"/>
        <v>0</v>
      </c>
      <c r="G132" s="199">
        <f t="shared" si="10"/>
        <v>0</v>
      </c>
      <c r="H132" s="64"/>
      <c r="L132" s="64"/>
      <c r="M132" s="64"/>
    </row>
    <row r="133" spans="1:14" outlineLevel="1" x14ac:dyDescent="0.35">
      <c r="A133" s="275" t="s">
        <v>236</v>
      </c>
      <c r="B133" s="95" t="s">
        <v>147</v>
      </c>
      <c r="C133" s="187"/>
      <c r="D133" s="187"/>
      <c r="E133" s="83"/>
      <c r="F133" s="199">
        <f t="shared" si="9"/>
        <v>0</v>
      </c>
      <c r="G133" s="199">
        <f t="shared" si="10"/>
        <v>0</v>
      </c>
      <c r="H133" s="64"/>
      <c r="L133" s="64"/>
      <c r="M133" s="64"/>
    </row>
    <row r="134" spans="1:14" outlineLevel="1" x14ac:dyDescent="0.35">
      <c r="A134" s="275" t="s">
        <v>237</v>
      </c>
      <c r="B134" s="95" t="s">
        <v>147</v>
      </c>
      <c r="C134" s="187"/>
      <c r="D134" s="187"/>
      <c r="E134" s="83"/>
      <c r="F134" s="199">
        <f t="shared" si="9"/>
        <v>0</v>
      </c>
      <c r="G134" s="199">
        <f t="shared" si="10"/>
        <v>0</v>
      </c>
      <c r="H134" s="64"/>
      <c r="L134" s="64"/>
      <c r="M134" s="64"/>
    </row>
    <row r="135" spans="1:14" outlineLevel="1" x14ac:dyDescent="0.35">
      <c r="A135" s="275" t="s">
        <v>238</v>
      </c>
      <c r="B135" s="95" t="s">
        <v>147</v>
      </c>
      <c r="C135" s="187"/>
      <c r="D135" s="187"/>
      <c r="E135" s="83"/>
      <c r="F135" s="199">
        <f t="shared" si="9"/>
        <v>0</v>
      </c>
      <c r="G135" s="199">
        <f t="shared" si="10"/>
        <v>0</v>
      </c>
      <c r="H135" s="64"/>
      <c r="L135" s="64"/>
      <c r="M135" s="64"/>
    </row>
    <row r="136" spans="1:14" outlineLevel="1" x14ac:dyDescent="0.35">
      <c r="A136" s="275" t="s">
        <v>239</v>
      </c>
      <c r="B136" s="95" t="s">
        <v>147</v>
      </c>
      <c r="C136" s="187"/>
      <c r="D136" s="187"/>
      <c r="E136" s="83"/>
      <c r="F136" s="199">
        <f t="shared" si="9"/>
        <v>0</v>
      </c>
      <c r="G136" s="199">
        <f t="shared" si="10"/>
        <v>0</v>
      </c>
      <c r="H136" s="64"/>
      <c r="L136" s="64"/>
      <c r="M136" s="64"/>
    </row>
    <row r="137" spans="1:14" ht="15" customHeight="1" x14ac:dyDescent="0.35">
      <c r="A137" s="85"/>
      <c r="B137" s="86" t="s">
        <v>240</v>
      </c>
      <c r="C137" s="88" t="s">
        <v>205</v>
      </c>
      <c r="D137" s="88" t="s">
        <v>206</v>
      </c>
      <c r="E137" s="87"/>
      <c r="F137" s="88" t="s">
        <v>207</v>
      </c>
      <c r="G137" s="88" t="s">
        <v>208</v>
      </c>
      <c r="H137" s="64"/>
      <c r="L137" s="64"/>
      <c r="M137" s="64"/>
    </row>
    <row r="138" spans="1:14" s="102" customFormat="1" x14ac:dyDescent="0.35">
      <c r="A138" s="66" t="s">
        <v>241</v>
      </c>
      <c r="B138" s="83" t="s">
        <v>210</v>
      </c>
      <c r="C138" s="424">
        <f>BONDS_AMOUNT_EUR/1000000</f>
        <v>3500</v>
      </c>
      <c r="D138" s="424">
        <f>C138</f>
        <v>3500</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5">
      <c r="A139" s="66" t="s">
        <v>242</v>
      </c>
      <c r="B139" s="83" t="s">
        <v>1543</v>
      </c>
      <c r="C139" s="187"/>
      <c r="D139" s="187"/>
      <c r="E139" s="92"/>
      <c r="F139" s="199" t="str">
        <f t="shared" si="11"/>
        <v/>
      </c>
      <c r="G139" s="199" t="str">
        <f t="shared" si="12"/>
        <v/>
      </c>
      <c r="H139" s="64"/>
      <c r="I139" s="66"/>
      <c r="J139" s="66"/>
      <c r="K139" s="66"/>
      <c r="L139" s="64"/>
      <c r="M139" s="64"/>
      <c r="N139" s="64"/>
    </row>
    <row r="140" spans="1:14" s="102" customFormat="1" x14ac:dyDescent="0.35">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x14ac:dyDescent="0.35">
      <c r="A141" s="66" t="s">
        <v>244</v>
      </c>
      <c r="B141" s="83" t="s">
        <v>1544</v>
      </c>
      <c r="C141" s="187"/>
      <c r="D141" s="187"/>
      <c r="E141" s="92"/>
      <c r="F141" s="199" t="str">
        <f t="shared" si="11"/>
        <v/>
      </c>
      <c r="G141" s="199" t="str">
        <f t="shared" si="12"/>
        <v/>
      </c>
      <c r="H141" s="64"/>
      <c r="I141" s="66"/>
      <c r="J141" s="66"/>
      <c r="K141" s="66"/>
      <c r="L141" s="64"/>
      <c r="M141" s="64"/>
      <c r="N141" s="64"/>
    </row>
    <row r="142" spans="1:14" s="102" customFormat="1" x14ac:dyDescent="0.35">
      <c r="A142" s="66" t="s">
        <v>245</v>
      </c>
      <c r="B142" s="83" t="s">
        <v>1545</v>
      </c>
      <c r="C142" s="424">
        <f>BONDS_AMOUNT_CHF/1000000</f>
        <v>0</v>
      </c>
      <c r="D142" s="424">
        <f>C142</f>
        <v>0</v>
      </c>
      <c r="E142" s="92"/>
      <c r="F142" s="199">
        <f t="shared" si="11"/>
        <v>0</v>
      </c>
      <c r="G142" s="199">
        <f t="shared" si="12"/>
        <v>0</v>
      </c>
      <c r="H142" s="64"/>
      <c r="I142" s="66"/>
      <c r="J142" s="66"/>
      <c r="K142" s="66"/>
      <c r="L142" s="64"/>
      <c r="M142" s="64"/>
      <c r="N142" s="64"/>
    </row>
    <row r="143" spans="1:14" s="102" customFormat="1" x14ac:dyDescent="0.35">
      <c r="A143" s="66" t="s">
        <v>246</v>
      </c>
      <c r="B143" s="83" t="s">
        <v>221</v>
      </c>
      <c r="C143" s="187"/>
      <c r="D143" s="187"/>
      <c r="E143" s="83"/>
      <c r="F143" s="199" t="str">
        <f t="shared" si="11"/>
        <v/>
      </c>
      <c r="G143" s="199" t="str">
        <f t="shared" si="12"/>
        <v/>
      </c>
      <c r="H143" s="64"/>
      <c r="I143" s="66"/>
      <c r="J143" s="66"/>
      <c r="K143" s="66"/>
      <c r="L143" s="64"/>
      <c r="M143" s="64"/>
      <c r="N143" s="64"/>
    </row>
    <row r="144" spans="1:14" x14ac:dyDescent="0.35">
      <c r="A144" s="66" t="s">
        <v>247</v>
      </c>
      <c r="B144" s="83" t="s">
        <v>223</v>
      </c>
      <c r="C144" s="187"/>
      <c r="D144" s="187"/>
      <c r="E144" s="83"/>
      <c r="F144" s="199" t="str">
        <f t="shared" si="11"/>
        <v/>
      </c>
      <c r="G144" s="199" t="str">
        <f t="shared" si="12"/>
        <v/>
      </c>
      <c r="H144" s="64"/>
      <c r="L144" s="64"/>
      <c r="M144" s="64"/>
    </row>
    <row r="145" spans="1:14" x14ac:dyDescent="0.35">
      <c r="A145" s="66" t="s">
        <v>248</v>
      </c>
      <c r="B145" s="83" t="s">
        <v>1546</v>
      </c>
      <c r="C145" s="187"/>
      <c r="D145" s="187"/>
      <c r="E145" s="83"/>
      <c r="F145" s="199" t="str">
        <f t="shared" si="11"/>
        <v/>
      </c>
      <c r="G145" s="199" t="str">
        <f t="shared" si="12"/>
        <v/>
      </c>
      <c r="H145" s="64"/>
      <c r="L145" s="64"/>
      <c r="M145" s="64"/>
      <c r="N145" s="96"/>
    </row>
    <row r="146" spans="1:14" x14ac:dyDescent="0.35">
      <c r="A146" s="66" t="s">
        <v>249</v>
      </c>
      <c r="B146" s="83" t="s">
        <v>225</v>
      </c>
      <c r="C146" s="187"/>
      <c r="D146" s="187"/>
      <c r="E146" s="83"/>
      <c r="F146" s="199" t="str">
        <f t="shared" si="11"/>
        <v/>
      </c>
      <c r="G146" s="199" t="str">
        <f t="shared" si="12"/>
        <v/>
      </c>
      <c r="H146" s="64"/>
      <c r="L146" s="64"/>
      <c r="M146" s="64"/>
      <c r="N146" s="96"/>
    </row>
    <row r="147" spans="1:14" x14ac:dyDescent="0.35">
      <c r="A147" s="66" t="s">
        <v>250</v>
      </c>
      <c r="B147" s="362" t="s">
        <v>2672</v>
      </c>
      <c r="C147" s="187"/>
      <c r="D147" s="187"/>
      <c r="E147" s="362"/>
      <c r="F147" s="199" t="str">
        <f t="shared" si="11"/>
        <v/>
      </c>
      <c r="G147" s="199" t="str">
        <f t="shared" si="12"/>
        <v/>
      </c>
      <c r="H147" s="64"/>
      <c r="L147" s="64"/>
      <c r="M147" s="64"/>
      <c r="N147" s="96"/>
    </row>
    <row r="148" spans="1:14" x14ac:dyDescent="0.35">
      <c r="A148" s="66" t="s">
        <v>251</v>
      </c>
      <c r="B148" s="83" t="s">
        <v>1553</v>
      </c>
      <c r="C148" s="187"/>
      <c r="D148" s="187"/>
      <c r="E148" s="83"/>
      <c r="F148" s="199" t="str">
        <f t="shared" si="11"/>
        <v/>
      </c>
      <c r="G148" s="199" t="str">
        <f t="shared" si="12"/>
        <v/>
      </c>
      <c r="H148" s="64"/>
      <c r="L148" s="64"/>
      <c r="M148" s="64"/>
      <c r="N148" s="96"/>
    </row>
    <row r="149" spans="1:14" x14ac:dyDescent="0.35">
      <c r="A149" s="66" t="s">
        <v>252</v>
      </c>
      <c r="B149" s="83" t="s">
        <v>227</v>
      </c>
      <c r="C149" s="187"/>
      <c r="D149" s="187"/>
      <c r="E149" s="83"/>
      <c r="F149" s="199" t="str">
        <f t="shared" si="11"/>
        <v/>
      </c>
      <c r="G149" s="199" t="str">
        <f t="shared" si="12"/>
        <v/>
      </c>
      <c r="H149" s="64"/>
      <c r="L149" s="64"/>
      <c r="M149" s="64"/>
      <c r="N149" s="96"/>
    </row>
    <row r="150" spans="1:14" x14ac:dyDescent="0.35">
      <c r="A150" s="66" t="s">
        <v>253</v>
      </c>
      <c r="B150" s="83" t="s">
        <v>214</v>
      </c>
      <c r="C150" s="187"/>
      <c r="D150" s="187"/>
      <c r="E150" s="83"/>
      <c r="F150" s="199" t="str">
        <f t="shared" si="11"/>
        <v/>
      </c>
      <c r="G150" s="199" t="str">
        <f t="shared" si="12"/>
        <v/>
      </c>
      <c r="H150" s="64"/>
      <c r="L150" s="64"/>
      <c r="M150" s="64"/>
      <c r="N150" s="96"/>
    </row>
    <row r="151" spans="1:14" x14ac:dyDescent="0.35">
      <c r="A151" s="66" t="s">
        <v>254</v>
      </c>
      <c r="B151" s="177" t="s">
        <v>1548</v>
      </c>
      <c r="C151" s="187"/>
      <c r="D151" s="187"/>
      <c r="E151" s="83"/>
      <c r="F151" s="199" t="str">
        <f t="shared" si="11"/>
        <v/>
      </c>
      <c r="G151" s="199" t="str">
        <f t="shared" si="12"/>
        <v/>
      </c>
      <c r="H151" s="64"/>
      <c r="L151" s="64"/>
      <c r="M151" s="64"/>
      <c r="N151" s="96"/>
    </row>
    <row r="152" spans="1:14" x14ac:dyDescent="0.35">
      <c r="A152" s="66" t="s">
        <v>255</v>
      </c>
      <c r="B152" s="83" t="s">
        <v>229</v>
      </c>
      <c r="C152" s="187"/>
      <c r="D152" s="187"/>
      <c r="E152" s="83"/>
      <c r="F152" s="199" t="str">
        <f t="shared" si="11"/>
        <v/>
      </c>
      <c r="G152" s="199" t="str">
        <f t="shared" si="12"/>
        <v/>
      </c>
      <c r="H152" s="64"/>
      <c r="L152" s="64"/>
      <c r="M152" s="64"/>
      <c r="N152" s="96"/>
    </row>
    <row r="153" spans="1:14" x14ac:dyDescent="0.35">
      <c r="A153" s="66" t="s">
        <v>256</v>
      </c>
      <c r="B153" s="83" t="s">
        <v>231</v>
      </c>
      <c r="C153" s="187"/>
      <c r="D153" s="187"/>
      <c r="E153" s="83"/>
      <c r="F153" s="199" t="str">
        <f t="shared" si="11"/>
        <v/>
      </c>
      <c r="G153" s="199" t="str">
        <f t="shared" si="12"/>
        <v/>
      </c>
      <c r="H153" s="64"/>
      <c r="L153" s="64"/>
      <c r="M153" s="64"/>
      <c r="N153" s="96"/>
    </row>
    <row r="154" spans="1:14" x14ac:dyDescent="0.35">
      <c r="A154" s="66" t="s">
        <v>1550</v>
      </c>
      <c r="B154" s="83" t="s">
        <v>1547</v>
      </c>
      <c r="C154" s="187"/>
      <c r="D154" s="187"/>
      <c r="E154" s="83"/>
      <c r="F154" s="199" t="str">
        <f t="shared" si="11"/>
        <v/>
      </c>
      <c r="G154" s="199" t="str">
        <f t="shared" si="12"/>
        <v/>
      </c>
      <c r="H154" s="64"/>
      <c r="L154" s="64"/>
      <c r="M154" s="64"/>
      <c r="N154" s="96"/>
    </row>
    <row r="155" spans="1:14" x14ac:dyDescent="0.35">
      <c r="A155" s="66" t="s">
        <v>1554</v>
      </c>
      <c r="B155" s="83" t="s">
        <v>143</v>
      </c>
      <c r="C155" s="187"/>
      <c r="D155" s="187"/>
      <c r="E155" s="83"/>
      <c r="F155" s="199" t="str">
        <f t="shared" si="11"/>
        <v/>
      </c>
      <c r="G155" s="199" t="str">
        <f t="shared" si="12"/>
        <v/>
      </c>
      <c r="H155" s="64"/>
      <c r="L155" s="64"/>
      <c r="M155" s="64"/>
      <c r="N155" s="96"/>
    </row>
    <row r="156" spans="1:14" outlineLevel="1" x14ac:dyDescent="0.35">
      <c r="A156" s="275" t="s">
        <v>2674</v>
      </c>
      <c r="B156" s="100" t="s">
        <v>145</v>
      </c>
      <c r="C156" s="187">
        <f>SUM(C138:C155)</f>
        <v>3500</v>
      </c>
      <c r="D156" s="187">
        <f>SUM(D138:D155)</f>
        <v>3500</v>
      </c>
      <c r="E156" s="83"/>
      <c r="F156" s="181">
        <f>SUM(F138:F155)</f>
        <v>1</v>
      </c>
      <c r="G156" s="181">
        <f>SUM(G138:G155)</f>
        <v>1</v>
      </c>
      <c r="H156" s="64"/>
      <c r="L156" s="64"/>
      <c r="M156" s="64"/>
      <c r="N156" s="96"/>
    </row>
    <row r="157" spans="1:14" outlineLevel="1" x14ac:dyDescent="0.35">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5">
      <c r="A158" s="66" t="s">
        <v>258</v>
      </c>
      <c r="B158" s="95" t="s">
        <v>147</v>
      </c>
      <c r="C158" s="187"/>
      <c r="D158" s="187"/>
      <c r="E158" s="83"/>
      <c r="F158" s="199" t="str">
        <f t="shared" si="13"/>
        <v/>
      </c>
      <c r="G158" s="199" t="str">
        <f t="shared" si="14"/>
        <v/>
      </c>
      <c r="H158" s="64"/>
      <c r="L158" s="64"/>
      <c r="M158" s="64"/>
      <c r="N158" s="96"/>
    </row>
    <row r="159" spans="1:14" outlineLevel="1" x14ac:dyDescent="0.35">
      <c r="A159" s="275" t="s">
        <v>259</v>
      </c>
      <c r="B159" s="95" t="s">
        <v>147</v>
      </c>
      <c r="C159" s="187"/>
      <c r="D159" s="187"/>
      <c r="E159" s="83"/>
      <c r="F159" s="199" t="str">
        <f t="shared" si="13"/>
        <v/>
      </c>
      <c r="G159" s="199" t="str">
        <f t="shared" si="14"/>
        <v/>
      </c>
      <c r="H159" s="64"/>
      <c r="L159" s="64"/>
      <c r="M159" s="64"/>
      <c r="N159" s="96"/>
    </row>
    <row r="160" spans="1:14" outlineLevel="1" x14ac:dyDescent="0.35">
      <c r="A160" s="275" t="s">
        <v>260</v>
      </c>
      <c r="B160" s="95" t="s">
        <v>147</v>
      </c>
      <c r="C160" s="187"/>
      <c r="D160" s="187"/>
      <c r="E160" s="83"/>
      <c r="F160" s="199" t="str">
        <f t="shared" si="13"/>
        <v/>
      </c>
      <c r="G160" s="199" t="str">
        <f t="shared" si="14"/>
        <v/>
      </c>
      <c r="H160" s="64"/>
      <c r="L160" s="64"/>
      <c r="M160" s="64"/>
      <c r="N160" s="96"/>
    </row>
    <row r="161" spans="1:14" outlineLevel="1" x14ac:dyDescent="0.35">
      <c r="A161" s="275" t="s">
        <v>261</v>
      </c>
      <c r="B161" s="95" t="s">
        <v>147</v>
      </c>
      <c r="C161" s="187"/>
      <c r="D161" s="187"/>
      <c r="E161" s="83"/>
      <c r="F161" s="199" t="str">
        <f t="shared" si="13"/>
        <v/>
      </c>
      <c r="G161" s="199" t="str">
        <f t="shared" si="14"/>
        <v/>
      </c>
      <c r="H161" s="64"/>
      <c r="L161" s="64"/>
      <c r="M161" s="64"/>
      <c r="N161" s="96"/>
    </row>
    <row r="162" spans="1:14" outlineLevel="1" x14ac:dyDescent="0.35">
      <c r="A162" s="275" t="s">
        <v>262</v>
      </c>
      <c r="B162" s="95" t="s">
        <v>147</v>
      </c>
      <c r="C162" s="187"/>
      <c r="D162" s="187"/>
      <c r="E162" s="83"/>
      <c r="F162" s="199" t="str">
        <f t="shared" si="13"/>
        <v/>
      </c>
      <c r="G162" s="199" t="str">
        <f t="shared" si="14"/>
        <v/>
      </c>
      <c r="H162" s="64"/>
      <c r="L162" s="64"/>
      <c r="M162" s="64"/>
      <c r="N162" s="96"/>
    </row>
    <row r="163" spans="1:14" ht="15" customHeight="1" x14ac:dyDescent="0.35">
      <c r="A163" s="85"/>
      <c r="B163" s="86" t="s">
        <v>263</v>
      </c>
      <c r="C163" s="135" t="s">
        <v>205</v>
      </c>
      <c r="D163" s="135" t="s">
        <v>206</v>
      </c>
      <c r="E163" s="87"/>
      <c r="F163" s="135" t="s">
        <v>207</v>
      </c>
      <c r="G163" s="135" t="s">
        <v>208</v>
      </c>
      <c r="H163" s="64"/>
      <c r="L163" s="64"/>
      <c r="M163" s="64"/>
      <c r="N163" s="96"/>
    </row>
    <row r="164" spans="1:14" x14ac:dyDescent="0.35">
      <c r="A164" s="66" t="s">
        <v>265</v>
      </c>
      <c r="B164" s="64" t="s">
        <v>266</v>
      </c>
      <c r="C164" s="424">
        <f>C156</f>
        <v>3500</v>
      </c>
      <c r="D164" s="187" t="s">
        <v>82</v>
      </c>
      <c r="E164" s="104"/>
      <c r="F164" s="199">
        <f>IF($C$167=0,"",IF(C164="[for completion]","",IF(C164="","",C164/$C$167)))</f>
        <v>1</v>
      </c>
      <c r="G164" s="199" t="str">
        <f>IF($D$167=0,"",IF(D164="[for completion]","",IF(D164="","",D164/$D$167)))</f>
        <v/>
      </c>
      <c r="H164" s="64"/>
      <c r="L164" s="64"/>
      <c r="M164" s="64"/>
      <c r="N164" s="96"/>
    </row>
    <row r="165" spans="1:14" x14ac:dyDescent="0.35">
      <c r="A165" s="66" t="s">
        <v>267</v>
      </c>
      <c r="B165" s="64" t="s">
        <v>268</v>
      </c>
      <c r="C165" s="424">
        <v>0</v>
      </c>
      <c r="D165" s="187" t="s">
        <v>82</v>
      </c>
      <c r="E165" s="104"/>
      <c r="F165" s="199">
        <f>IF($C$167=0,"",IF(C165="[for completion]","",IF(C165="","",C165/$C$167)))</f>
        <v>0</v>
      </c>
      <c r="G165" s="199" t="str">
        <f>IF($D$167=0,"",IF(D165="[for completion]","",IF(D165="","",D165/$D$167)))</f>
        <v/>
      </c>
      <c r="H165" s="64"/>
      <c r="L165" s="64"/>
      <c r="M165" s="64"/>
      <c r="N165" s="96"/>
    </row>
    <row r="166" spans="1:14" x14ac:dyDescent="0.35">
      <c r="A166" s="66" t="s">
        <v>269</v>
      </c>
      <c r="B166" s="64" t="s">
        <v>143</v>
      </c>
      <c r="C166" s="424">
        <v>0</v>
      </c>
      <c r="D166" s="187" t="s">
        <v>82</v>
      </c>
      <c r="E166" s="104"/>
      <c r="F166" s="199">
        <f>IF($C$167=0,"",IF(C166="[for completion]","",IF(C166="","",C166/$C$167)))</f>
        <v>0</v>
      </c>
      <c r="G166" s="199" t="str">
        <f>IF($D$167=0,"",IF(D166="[for completion]","",IF(D166="","",D166/$D$167)))</f>
        <v/>
      </c>
      <c r="H166" s="64"/>
      <c r="L166" s="64"/>
      <c r="M166" s="64"/>
      <c r="N166" s="96"/>
    </row>
    <row r="167" spans="1:14" x14ac:dyDescent="0.35">
      <c r="A167" s="66" t="s">
        <v>270</v>
      </c>
      <c r="B167" s="105" t="s">
        <v>145</v>
      </c>
      <c r="C167" s="202">
        <f>SUM(C164:C166)</f>
        <v>3500</v>
      </c>
      <c r="D167" s="202">
        <f>SUM(D164:D166)</f>
        <v>0</v>
      </c>
      <c r="E167" s="104"/>
      <c r="F167" s="201">
        <f>SUM(F164:F166)</f>
        <v>1</v>
      </c>
      <c r="G167" s="201">
        <f>SUM(G164:G166)</f>
        <v>0</v>
      </c>
      <c r="H167" s="64"/>
      <c r="L167" s="64"/>
      <c r="M167" s="64"/>
      <c r="N167" s="96"/>
    </row>
    <row r="168" spans="1:14" outlineLevel="1" x14ac:dyDescent="0.35">
      <c r="A168" s="66" t="s">
        <v>271</v>
      </c>
      <c r="B168" s="105"/>
      <c r="C168" s="202"/>
      <c r="D168" s="202"/>
      <c r="E168" s="104"/>
      <c r="F168" s="104"/>
      <c r="G168" s="62"/>
      <c r="H168" s="64"/>
      <c r="L168" s="64"/>
      <c r="M168" s="64"/>
      <c r="N168" s="96"/>
    </row>
    <row r="169" spans="1:14" outlineLevel="1" x14ac:dyDescent="0.35">
      <c r="A169" s="66" t="s">
        <v>272</v>
      </c>
      <c r="B169" s="105"/>
      <c r="C169" s="202"/>
      <c r="D169" s="202"/>
      <c r="E169" s="104"/>
      <c r="F169" s="104"/>
      <c r="G169" s="62"/>
      <c r="H169" s="64"/>
      <c r="L169" s="64"/>
      <c r="M169" s="64"/>
      <c r="N169" s="96"/>
    </row>
    <row r="170" spans="1:14" outlineLevel="1" x14ac:dyDescent="0.35">
      <c r="A170" s="66" t="s">
        <v>273</v>
      </c>
      <c r="B170" s="105"/>
      <c r="C170" s="202"/>
      <c r="D170" s="202"/>
      <c r="E170" s="104"/>
      <c r="F170" s="104"/>
      <c r="G170" s="62"/>
      <c r="H170" s="64"/>
      <c r="L170" s="64"/>
      <c r="M170" s="64"/>
      <c r="N170" s="96"/>
    </row>
    <row r="171" spans="1:14" outlineLevel="1" x14ac:dyDescent="0.35">
      <c r="A171" s="66" t="s">
        <v>274</v>
      </c>
      <c r="B171" s="105"/>
      <c r="C171" s="202"/>
      <c r="D171" s="202"/>
      <c r="E171" s="104"/>
      <c r="F171" s="104"/>
      <c r="G171" s="62"/>
      <c r="H171" s="64"/>
      <c r="L171" s="64"/>
      <c r="M171" s="64"/>
      <c r="N171" s="96"/>
    </row>
    <row r="172" spans="1:14" outlineLevel="1" x14ac:dyDescent="0.35">
      <c r="A172" s="66" t="s">
        <v>275</v>
      </c>
      <c r="B172" s="105"/>
      <c r="C172" s="202"/>
      <c r="D172" s="202"/>
      <c r="E172" s="104"/>
      <c r="F172" s="104"/>
      <c r="G172" s="62"/>
      <c r="H172" s="64"/>
      <c r="L172" s="64"/>
      <c r="M172" s="64"/>
      <c r="N172" s="96"/>
    </row>
    <row r="173" spans="1:14" ht="15" customHeight="1" x14ac:dyDescent="0.35">
      <c r="A173" s="85"/>
      <c r="B173" s="86" t="s">
        <v>276</v>
      </c>
      <c r="C173" s="85" t="s">
        <v>112</v>
      </c>
      <c r="D173" s="85"/>
      <c r="E173" s="87"/>
      <c r="F173" s="88" t="s">
        <v>277</v>
      </c>
      <c r="G173" s="88"/>
      <c r="H173" s="64"/>
      <c r="L173" s="64"/>
      <c r="M173" s="64"/>
      <c r="N173" s="96"/>
    </row>
    <row r="174" spans="1:14" ht="15" customHeight="1" x14ac:dyDescent="0.35">
      <c r="A174" s="66" t="s">
        <v>278</v>
      </c>
      <c r="B174" s="83" t="s">
        <v>279</v>
      </c>
      <c r="C174" s="424">
        <f>PERMITTED_INSTRUMENTS/1000000</f>
        <v>110.84937508</v>
      </c>
      <c r="D174" s="80"/>
      <c r="E174" s="72"/>
      <c r="F174" s="199">
        <f>IF($C$179=0,"",IF(C174="[for completion]","",C174/$C$179))</f>
        <v>1</v>
      </c>
      <c r="G174" s="92"/>
      <c r="H174" s="64"/>
      <c r="L174" s="64"/>
      <c r="M174" s="64"/>
      <c r="N174" s="96"/>
    </row>
    <row r="175" spans="1:14" ht="30.75" customHeight="1" x14ac:dyDescent="0.35">
      <c r="A175" s="66" t="s">
        <v>9</v>
      </c>
      <c r="B175" s="83" t="s">
        <v>1383</v>
      </c>
      <c r="C175" s="424">
        <v>0</v>
      </c>
      <c r="E175" s="94"/>
      <c r="F175" s="199">
        <f>IF($C$179=0,"",IF(C175="[for completion]","",C175/$C$179))</f>
        <v>0</v>
      </c>
      <c r="G175" s="92"/>
      <c r="H175" s="64"/>
      <c r="L175" s="64"/>
      <c r="M175" s="64"/>
      <c r="N175" s="96"/>
    </row>
    <row r="176" spans="1:14" x14ac:dyDescent="0.35">
      <c r="A176" s="66" t="s">
        <v>280</v>
      </c>
      <c r="B176" s="83" t="s">
        <v>281</v>
      </c>
      <c r="C176" s="424">
        <v>0</v>
      </c>
      <c r="E176" s="94"/>
      <c r="F176" s="199"/>
      <c r="G176" s="92"/>
      <c r="H176" s="64"/>
      <c r="L176" s="64"/>
      <c r="M176" s="64"/>
      <c r="N176" s="96"/>
    </row>
    <row r="177" spans="1:14" x14ac:dyDescent="0.35">
      <c r="A177" s="66" t="s">
        <v>282</v>
      </c>
      <c r="B177" s="83" t="s">
        <v>283</v>
      </c>
      <c r="C177" s="424">
        <v>0</v>
      </c>
      <c r="E177" s="94"/>
      <c r="F177" s="199">
        <f t="shared" ref="F177:F187" si="15">IF($C$179=0,"",IF(C177="[for completion]","",C177/$C$179))</f>
        <v>0</v>
      </c>
      <c r="G177" s="92"/>
      <c r="H177" s="64"/>
      <c r="L177" s="64"/>
      <c r="M177" s="64"/>
      <c r="N177" s="96"/>
    </row>
    <row r="178" spans="1:14" x14ac:dyDescent="0.35">
      <c r="A178" s="66" t="s">
        <v>284</v>
      </c>
      <c r="B178" s="83" t="s">
        <v>143</v>
      </c>
      <c r="C178" s="424">
        <v>0</v>
      </c>
      <c r="E178" s="94"/>
      <c r="F178" s="199">
        <f t="shared" si="15"/>
        <v>0</v>
      </c>
      <c r="G178" s="92"/>
      <c r="H178" s="64"/>
      <c r="L178" s="64"/>
      <c r="M178" s="64"/>
      <c r="N178" s="96"/>
    </row>
    <row r="179" spans="1:14" x14ac:dyDescent="0.35">
      <c r="A179" s="66" t="s">
        <v>10</v>
      </c>
      <c r="B179" s="100" t="s">
        <v>145</v>
      </c>
      <c r="C179" s="189">
        <f>SUM(C174:C178)</f>
        <v>110.84937508</v>
      </c>
      <c r="E179" s="94"/>
      <c r="F179" s="200">
        <f>SUM(F174:F178)</f>
        <v>1</v>
      </c>
      <c r="G179" s="92"/>
      <c r="H179" s="64"/>
      <c r="L179" s="64"/>
      <c r="M179" s="64"/>
      <c r="N179" s="96"/>
    </row>
    <row r="180" spans="1:14" outlineLevel="1" x14ac:dyDescent="0.35">
      <c r="A180" s="66" t="s">
        <v>285</v>
      </c>
      <c r="B180" s="106" t="s">
        <v>286</v>
      </c>
      <c r="C180" s="187"/>
      <c r="E180" s="94"/>
      <c r="F180" s="199">
        <f t="shared" si="15"/>
        <v>0</v>
      </c>
      <c r="G180" s="92"/>
      <c r="H180" s="64"/>
      <c r="L180" s="64"/>
      <c r="M180" s="64"/>
      <c r="N180" s="96"/>
    </row>
    <row r="181" spans="1:14" s="106" customFormat="1" ht="29" outlineLevel="1" x14ac:dyDescent="0.35">
      <c r="A181" s="66" t="s">
        <v>287</v>
      </c>
      <c r="B181" s="106" t="s">
        <v>288</v>
      </c>
      <c r="C181" s="203"/>
      <c r="F181" s="199">
        <f t="shared" si="15"/>
        <v>0</v>
      </c>
    </row>
    <row r="182" spans="1:14" ht="29" outlineLevel="1" x14ac:dyDescent="0.35">
      <c r="A182" s="66" t="s">
        <v>289</v>
      </c>
      <c r="B182" s="106" t="s">
        <v>290</v>
      </c>
      <c r="C182" s="187"/>
      <c r="E182" s="94"/>
      <c r="F182" s="199">
        <f t="shared" si="15"/>
        <v>0</v>
      </c>
      <c r="G182" s="92"/>
      <c r="H182" s="64"/>
      <c r="L182" s="64"/>
      <c r="M182" s="64"/>
      <c r="N182" s="96"/>
    </row>
    <row r="183" spans="1:14" outlineLevel="1" x14ac:dyDescent="0.35">
      <c r="A183" s="66" t="s">
        <v>291</v>
      </c>
      <c r="B183" s="106" t="s">
        <v>292</v>
      </c>
      <c r="C183" s="187"/>
      <c r="E183" s="94"/>
      <c r="F183" s="199">
        <f t="shared" si="15"/>
        <v>0</v>
      </c>
      <c r="G183" s="92"/>
      <c r="H183" s="64"/>
      <c r="L183" s="64"/>
      <c r="M183" s="64"/>
      <c r="N183" s="96"/>
    </row>
    <row r="184" spans="1:14" s="106" customFormat="1" outlineLevel="1" x14ac:dyDescent="0.35">
      <c r="A184" s="66" t="s">
        <v>293</v>
      </c>
      <c r="B184" s="106" t="s">
        <v>294</v>
      </c>
      <c r="C184" s="203"/>
      <c r="F184" s="199">
        <f t="shared" si="15"/>
        <v>0</v>
      </c>
    </row>
    <row r="185" spans="1:14" outlineLevel="1" x14ac:dyDescent="0.35">
      <c r="A185" s="66" t="s">
        <v>295</v>
      </c>
      <c r="B185" s="106" t="s">
        <v>296</v>
      </c>
      <c r="C185" s="187"/>
      <c r="E185" s="94"/>
      <c r="F185" s="199">
        <f t="shared" si="15"/>
        <v>0</v>
      </c>
      <c r="G185" s="92"/>
      <c r="H185" s="64"/>
      <c r="L185" s="64"/>
      <c r="M185" s="64"/>
      <c r="N185" s="96"/>
    </row>
    <row r="186" spans="1:14" outlineLevel="1" x14ac:dyDescent="0.35">
      <c r="A186" s="66" t="s">
        <v>297</v>
      </c>
      <c r="B186" s="106" t="s">
        <v>298</v>
      </c>
      <c r="C186" s="187"/>
      <c r="E186" s="94"/>
      <c r="F186" s="199">
        <f t="shared" si="15"/>
        <v>0</v>
      </c>
      <c r="G186" s="92"/>
      <c r="H186" s="64"/>
      <c r="L186" s="64"/>
      <c r="M186" s="64"/>
      <c r="N186" s="96"/>
    </row>
    <row r="187" spans="1:14" outlineLevel="1" x14ac:dyDescent="0.35">
      <c r="A187" s="66" t="s">
        <v>299</v>
      </c>
      <c r="B187" s="106" t="s">
        <v>300</v>
      </c>
      <c r="C187" s="187"/>
      <c r="E187" s="94"/>
      <c r="F187" s="199">
        <f t="shared" si="15"/>
        <v>0</v>
      </c>
      <c r="G187" s="92"/>
      <c r="H187" s="64"/>
      <c r="L187" s="64"/>
      <c r="M187" s="64"/>
      <c r="N187" s="96"/>
    </row>
    <row r="188" spans="1:14" outlineLevel="1" x14ac:dyDescent="0.35">
      <c r="A188" s="66" t="s">
        <v>301</v>
      </c>
      <c r="B188" s="106"/>
      <c r="E188" s="94"/>
      <c r="F188" s="92"/>
      <c r="G188" s="92"/>
      <c r="H188" s="64"/>
      <c r="L188" s="64"/>
      <c r="M188" s="64"/>
      <c r="N188" s="96"/>
    </row>
    <row r="189" spans="1:14" outlineLevel="1" x14ac:dyDescent="0.35">
      <c r="A189" s="66" t="s">
        <v>302</v>
      </c>
      <c r="B189" s="106"/>
      <c r="E189" s="94"/>
      <c r="F189" s="92"/>
      <c r="G189" s="92"/>
      <c r="H189" s="64"/>
      <c r="L189" s="64"/>
      <c r="M189" s="64"/>
      <c r="N189" s="96"/>
    </row>
    <row r="190" spans="1:14" outlineLevel="1" x14ac:dyDescent="0.35">
      <c r="A190" s="66" t="s">
        <v>303</v>
      </c>
      <c r="B190" s="106"/>
      <c r="E190" s="94"/>
      <c r="F190" s="92"/>
      <c r="G190" s="92"/>
      <c r="H190" s="64"/>
      <c r="L190" s="64"/>
      <c r="M190" s="64"/>
      <c r="N190" s="96"/>
    </row>
    <row r="191" spans="1:14" outlineLevel="1" x14ac:dyDescent="0.35">
      <c r="A191" s="66" t="s">
        <v>304</v>
      </c>
      <c r="B191" s="95"/>
      <c r="E191" s="94"/>
      <c r="F191" s="92"/>
      <c r="G191" s="92"/>
      <c r="H191" s="64"/>
      <c r="L191" s="64"/>
      <c r="M191" s="64"/>
      <c r="N191" s="96"/>
    </row>
    <row r="192" spans="1:14" ht="15" customHeight="1" x14ac:dyDescent="0.35">
      <c r="A192" s="85"/>
      <c r="B192" s="86" t="s">
        <v>305</v>
      </c>
      <c r="C192" s="85" t="s">
        <v>112</v>
      </c>
      <c r="D192" s="85"/>
      <c r="E192" s="87"/>
      <c r="F192" s="88" t="s">
        <v>277</v>
      </c>
      <c r="G192" s="88"/>
      <c r="H192" s="64"/>
      <c r="L192" s="64"/>
      <c r="M192" s="64"/>
      <c r="N192" s="96"/>
    </row>
    <row r="193" spans="1:14" x14ac:dyDescent="0.35">
      <c r="A193" s="66" t="s">
        <v>306</v>
      </c>
      <c r="B193" s="83" t="s">
        <v>307</v>
      </c>
      <c r="C193" s="424">
        <f>PERMITTED_INSTRUMENTS/1000000</f>
        <v>110.84937508</v>
      </c>
      <c r="E193" s="91"/>
      <c r="F193" s="199">
        <f t="shared" ref="F193:F206" si="16">IF($C$208=0,"",IF(C193="[for completion]","",C193/$C$208))</f>
        <v>1</v>
      </c>
      <c r="G193" s="92"/>
      <c r="H193" s="64"/>
      <c r="L193" s="64"/>
      <c r="M193" s="64"/>
      <c r="N193" s="96"/>
    </row>
    <row r="194" spans="1:14" x14ac:dyDescent="0.35">
      <c r="A194" s="66" t="s">
        <v>308</v>
      </c>
      <c r="B194" s="83" t="s">
        <v>309</v>
      </c>
      <c r="C194" s="424">
        <v>0</v>
      </c>
      <c r="E194" s="94"/>
      <c r="F194" s="199">
        <f t="shared" si="16"/>
        <v>0</v>
      </c>
      <c r="G194" s="94"/>
      <c r="H194" s="64"/>
      <c r="L194" s="64"/>
      <c r="M194" s="64"/>
      <c r="N194" s="96"/>
    </row>
    <row r="195" spans="1:14" x14ac:dyDescent="0.35">
      <c r="A195" s="66" t="s">
        <v>310</v>
      </c>
      <c r="B195" s="83" t="s">
        <v>311</v>
      </c>
      <c r="C195" s="424">
        <v>0</v>
      </c>
      <c r="E195" s="94"/>
      <c r="F195" s="199">
        <f t="shared" si="16"/>
        <v>0</v>
      </c>
      <c r="G195" s="94"/>
      <c r="H195" s="64"/>
      <c r="L195" s="64"/>
      <c r="M195" s="64"/>
      <c r="N195" s="96"/>
    </row>
    <row r="196" spans="1:14" x14ac:dyDescent="0.35">
      <c r="A196" s="66" t="s">
        <v>312</v>
      </c>
      <c r="B196" s="83" t="s">
        <v>313</v>
      </c>
      <c r="C196" s="424">
        <v>0</v>
      </c>
      <c r="E196" s="94"/>
      <c r="F196" s="199">
        <f t="shared" si="16"/>
        <v>0</v>
      </c>
      <c r="G196" s="94"/>
      <c r="H196" s="64"/>
      <c r="L196" s="64"/>
      <c r="M196" s="64"/>
      <c r="N196" s="96"/>
    </row>
    <row r="197" spans="1:14" x14ac:dyDescent="0.35">
      <c r="A197" s="66" t="s">
        <v>314</v>
      </c>
      <c r="B197" s="83" t="s">
        <v>315</v>
      </c>
      <c r="C197" s="424">
        <v>0</v>
      </c>
      <c r="E197" s="94"/>
      <c r="F197" s="199">
        <f t="shared" si="16"/>
        <v>0</v>
      </c>
      <c r="G197" s="94"/>
      <c r="H197" s="64"/>
      <c r="L197" s="64"/>
      <c r="M197" s="64"/>
      <c r="N197" s="96"/>
    </row>
    <row r="198" spans="1:14" x14ac:dyDescent="0.35">
      <c r="A198" s="66" t="s">
        <v>316</v>
      </c>
      <c r="B198" s="83" t="s">
        <v>317</v>
      </c>
      <c r="C198" s="424">
        <v>0</v>
      </c>
      <c r="E198" s="94"/>
      <c r="F198" s="199">
        <f t="shared" si="16"/>
        <v>0</v>
      </c>
      <c r="G198" s="94"/>
      <c r="H198" s="64"/>
      <c r="L198" s="64"/>
      <c r="M198" s="64"/>
      <c r="N198" s="96"/>
    </row>
    <row r="199" spans="1:14" x14ac:dyDescent="0.35">
      <c r="A199" s="66" t="s">
        <v>318</v>
      </c>
      <c r="B199" s="83" t="s">
        <v>319</v>
      </c>
      <c r="C199" s="424">
        <v>0</v>
      </c>
      <c r="E199" s="94"/>
      <c r="F199" s="199">
        <f t="shared" si="16"/>
        <v>0</v>
      </c>
      <c r="G199" s="94"/>
      <c r="H199" s="64"/>
      <c r="L199" s="64"/>
      <c r="M199" s="64"/>
      <c r="N199" s="96"/>
    </row>
    <row r="200" spans="1:14" x14ac:dyDescent="0.35">
      <c r="A200" s="66" t="s">
        <v>320</v>
      </c>
      <c r="B200" s="83" t="s">
        <v>12</v>
      </c>
      <c r="C200" s="424">
        <v>0</v>
      </c>
      <c r="E200" s="94"/>
      <c r="F200" s="199">
        <f t="shared" si="16"/>
        <v>0</v>
      </c>
      <c r="G200" s="94"/>
      <c r="H200" s="64"/>
      <c r="L200" s="64"/>
      <c r="M200" s="64"/>
      <c r="N200" s="96"/>
    </row>
    <row r="201" spans="1:14" x14ac:dyDescent="0.35">
      <c r="A201" s="66" t="s">
        <v>321</v>
      </c>
      <c r="B201" s="83" t="s">
        <v>322</v>
      </c>
      <c r="C201" s="424">
        <v>0</v>
      </c>
      <c r="E201" s="94"/>
      <c r="F201" s="199">
        <f t="shared" si="16"/>
        <v>0</v>
      </c>
      <c r="G201" s="94"/>
      <c r="H201" s="64"/>
      <c r="L201" s="64"/>
      <c r="M201" s="64"/>
      <c r="N201" s="96"/>
    </row>
    <row r="202" spans="1:14" x14ac:dyDescent="0.35">
      <c r="A202" s="66" t="s">
        <v>323</v>
      </c>
      <c r="B202" s="83" t="s">
        <v>324</v>
      </c>
      <c r="C202" s="424">
        <v>0</v>
      </c>
      <c r="E202" s="94"/>
      <c r="F202" s="199">
        <f t="shared" si="16"/>
        <v>0</v>
      </c>
      <c r="G202" s="94"/>
      <c r="H202" s="64"/>
      <c r="L202" s="64"/>
      <c r="M202" s="64"/>
      <c r="N202" s="96"/>
    </row>
    <row r="203" spans="1:14" x14ac:dyDescent="0.35">
      <c r="A203" s="66" t="s">
        <v>325</v>
      </c>
      <c r="B203" s="83" t="s">
        <v>326</v>
      </c>
      <c r="C203" s="424">
        <v>0</v>
      </c>
      <c r="E203" s="94"/>
      <c r="F203" s="199">
        <f t="shared" si="16"/>
        <v>0</v>
      </c>
      <c r="G203" s="94"/>
      <c r="H203" s="64"/>
      <c r="L203" s="64"/>
      <c r="M203" s="64"/>
      <c r="N203" s="96"/>
    </row>
    <row r="204" spans="1:14" x14ac:dyDescent="0.35">
      <c r="A204" s="66" t="s">
        <v>327</v>
      </c>
      <c r="B204" s="83" t="s">
        <v>328</v>
      </c>
      <c r="C204" s="424">
        <v>0</v>
      </c>
      <c r="E204" s="94"/>
      <c r="F204" s="199">
        <f t="shared" si="16"/>
        <v>0</v>
      </c>
      <c r="G204" s="94"/>
      <c r="H204" s="64"/>
      <c r="L204" s="64"/>
      <c r="M204" s="64"/>
      <c r="N204" s="96"/>
    </row>
    <row r="205" spans="1:14" x14ac:dyDescent="0.35">
      <c r="A205" s="66" t="s">
        <v>329</v>
      </c>
      <c r="B205" s="83" t="s">
        <v>330</v>
      </c>
      <c r="C205" s="424">
        <v>0</v>
      </c>
      <c r="E205" s="94"/>
      <c r="F205" s="199">
        <f t="shared" si="16"/>
        <v>0</v>
      </c>
      <c r="G205" s="94"/>
      <c r="H205" s="64"/>
      <c r="L205" s="64"/>
      <c r="M205" s="64"/>
      <c r="N205" s="96"/>
    </row>
    <row r="206" spans="1:14" x14ac:dyDescent="0.35">
      <c r="A206" s="66" t="s">
        <v>331</v>
      </c>
      <c r="B206" s="83" t="s">
        <v>143</v>
      </c>
      <c r="C206" s="424">
        <v>0</v>
      </c>
      <c r="E206" s="94"/>
      <c r="F206" s="199">
        <f t="shared" si="16"/>
        <v>0</v>
      </c>
      <c r="G206" s="94"/>
      <c r="H206" s="64"/>
      <c r="L206" s="64"/>
      <c r="M206" s="64"/>
      <c r="N206" s="96"/>
    </row>
    <row r="207" spans="1:14" x14ac:dyDescent="0.35">
      <c r="A207" s="66" t="s">
        <v>332</v>
      </c>
      <c r="B207" s="93" t="s">
        <v>333</v>
      </c>
      <c r="C207" s="187"/>
      <c r="E207" s="94"/>
      <c r="F207" s="199"/>
      <c r="G207" s="94"/>
      <c r="H207" s="64"/>
      <c r="L207" s="64"/>
      <c r="M207" s="64"/>
      <c r="N207" s="96"/>
    </row>
    <row r="208" spans="1:14" x14ac:dyDescent="0.35">
      <c r="A208" s="66" t="s">
        <v>334</v>
      </c>
      <c r="B208" s="100" t="s">
        <v>145</v>
      </c>
      <c r="C208" s="189">
        <f>SUM(C193:C206)</f>
        <v>110.84937508</v>
      </c>
      <c r="D208" s="83"/>
      <c r="E208" s="94"/>
      <c r="F208" s="200">
        <f>SUM(F193:F206)</f>
        <v>1</v>
      </c>
      <c r="G208" s="94"/>
      <c r="H208" s="64"/>
      <c r="L208" s="64"/>
      <c r="M208" s="64"/>
      <c r="N208" s="96"/>
    </row>
    <row r="209" spans="1:14" outlineLevel="1" x14ac:dyDescent="0.35">
      <c r="A209" s="66" t="s">
        <v>335</v>
      </c>
      <c r="B209" s="95" t="s">
        <v>147</v>
      </c>
      <c r="C209" s="187"/>
      <c r="E209" s="94"/>
      <c r="F209" s="199">
        <f>IF($C$208=0,"",IF(C209="[for completion]","",C209/$C$208))</f>
        <v>0</v>
      </c>
      <c r="G209" s="94"/>
      <c r="H209" s="64"/>
      <c r="L209" s="64"/>
      <c r="M209" s="64"/>
      <c r="N209" s="96"/>
    </row>
    <row r="210" spans="1:14" outlineLevel="1" x14ac:dyDescent="0.35">
      <c r="A210" s="66" t="s">
        <v>336</v>
      </c>
      <c r="B210" s="95" t="s">
        <v>147</v>
      </c>
      <c r="C210" s="187"/>
      <c r="E210" s="94"/>
      <c r="F210" s="199">
        <f t="shared" ref="F210:F215" si="17">IF($C$208=0,"",IF(C210="[for completion]","",C210/$C$208))</f>
        <v>0</v>
      </c>
      <c r="G210" s="94"/>
      <c r="H210" s="64"/>
      <c r="L210" s="64"/>
      <c r="M210" s="64"/>
      <c r="N210" s="96"/>
    </row>
    <row r="211" spans="1:14" outlineLevel="1" x14ac:dyDescent="0.35">
      <c r="A211" s="66" t="s">
        <v>337</v>
      </c>
      <c r="B211" s="95" t="s">
        <v>147</v>
      </c>
      <c r="C211" s="187"/>
      <c r="E211" s="94"/>
      <c r="F211" s="199">
        <f t="shared" si="17"/>
        <v>0</v>
      </c>
      <c r="G211" s="94"/>
      <c r="H211" s="64"/>
      <c r="L211" s="64"/>
      <c r="M211" s="64"/>
      <c r="N211" s="96"/>
    </row>
    <row r="212" spans="1:14" outlineLevel="1" x14ac:dyDescent="0.35">
      <c r="A212" s="66" t="s">
        <v>338</v>
      </c>
      <c r="B212" s="95" t="s">
        <v>147</v>
      </c>
      <c r="C212" s="187"/>
      <c r="E212" s="94"/>
      <c r="F212" s="199">
        <f t="shared" si="17"/>
        <v>0</v>
      </c>
      <c r="G212" s="94"/>
      <c r="H212" s="64"/>
      <c r="L212" s="64"/>
      <c r="M212" s="64"/>
      <c r="N212" s="96"/>
    </row>
    <row r="213" spans="1:14" outlineLevel="1" x14ac:dyDescent="0.35">
      <c r="A213" s="66" t="s">
        <v>339</v>
      </c>
      <c r="B213" s="95" t="s">
        <v>147</v>
      </c>
      <c r="C213" s="187"/>
      <c r="E213" s="94"/>
      <c r="F213" s="199">
        <f t="shared" si="17"/>
        <v>0</v>
      </c>
      <c r="G213" s="94"/>
      <c r="H213" s="64"/>
      <c r="L213" s="64"/>
      <c r="M213" s="64"/>
      <c r="N213" s="96"/>
    </row>
    <row r="214" spans="1:14" outlineLevel="1" x14ac:dyDescent="0.35">
      <c r="A214" s="66" t="s">
        <v>340</v>
      </c>
      <c r="B214" s="95" t="s">
        <v>147</v>
      </c>
      <c r="C214" s="187"/>
      <c r="E214" s="94"/>
      <c r="F214" s="199">
        <f t="shared" si="17"/>
        <v>0</v>
      </c>
      <c r="G214" s="94"/>
      <c r="H214" s="64"/>
      <c r="L214" s="64"/>
      <c r="M214" s="64"/>
      <c r="N214" s="96"/>
    </row>
    <row r="215" spans="1:14" outlineLevel="1" x14ac:dyDescent="0.35">
      <c r="A215" s="66" t="s">
        <v>341</v>
      </c>
      <c r="B215" s="95" t="s">
        <v>147</v>
      </c>
      <c r="C215" s="187"/>
      <c r="E215" s="94"/>
      <c r="F215" s="199">
        <f t="shared" si="17"/>
        <v>0</v>
      </c>
      <c r="G215" s="94"/>
      <c r="H215" s="64"/>
      <c r="L215" s="64"/>
      <c r="M215" s="64"/>
      <c r="N215" s="96"/>
    </row>
    <row r="216" spans="1:14" ht="15" customHeight="1" x14ac:dyDescent="0.35">
      <c r="A216" s="85"/>
      <c r="B216" s="86" t="s">
        <v>342</v>
      </c>
      <c r="C216" s="85" t="s">
        <v>112</v>
      </c>
      <c r="D216" s="85"/>
      <c r="E216" s="87"/>
      <c r="F216" s="88" t="s">
        <v>133</v>
      </c>
      <c r="G216" s="88" t="s">
        <v>264</v>
      </c>
      <c r="H216" s="64"/>
      <c r="L216" s="64"/>
      <c r="M216" s="64"/>
      <c r="N216" s="96"/>
    </row>
    <row r="217" spans="1:14" x14ac:dyDescent="0.35">
      <c r="A217" s="66" t="s">
        <v>343</v>
      </c>
      <c r="B217" s="62" t="s">
        <v>344</v>
      </c>
      <c r="C217" s="424">
        <f>PERMITTED_INSTRUMENTS/1000000</f>
        <v>110.84937508</v>
      </c>
      <c r="E217" s="104"/>
      <c r="F217" s="199">
        <f>IF($C$38=0,"",IF(C217="[for completion]","",IF(C217="","",C217/$C$38)))</f>
        <v>1.9006604630658609E-2</v>
      </c>
      <c r="G217" s="199">
        <f>IF($C$39=0,"",IF(C217="[for completion]","",IF(C217="","",C217/$C$39)))</f>
        <v>3.1671250022857145E-2</v>
      </c>
      <c r="H217" s="64"/>
      <c r="L217" s="64"/>
      <c r="M217" s="64"/>
      <c r="N217" s="96"/>
    </row>
    <row r="218" spans="1:14" x14ac:dyDescent="0.35">
      <c r="A218" s="66" t="s">
        <v>345</v>
      </c>
      <c r="B218" s="62" t="s">
        <v>346</v>
      </c>
      <c r="C218" s="424">
        <v>0</v>
      </c>
      <c r="E218" s="104"/>
      <c r="F218" s="199">
        <f>IF($C$38=0,"",IF(C218="[for completion]","",IF(C218="","",C218/$C$38)))</f>
        <v>0</v>
      </c>
      <c r="G218" s="199">
        <f>IF($C$39=0,"",IF(C218="[for completion]","",IF(C218="","",C218/$C$39)))</f>
        <v>0</v>
      </c>
      <c r="H218" s="64"/>
      <c r="L218" s="64"/>
      <c r="M218" s="64"/>
      <c r="N218" s="96"/>
    </row>
    <row r="219" spans="1:14" x14ac:dyDescent="0.35">
      <c r="A219" s="66" t="s">
        <v>347</v>
      </c>
      <c r="B219" s="62" t="s">
        <v>143</v>
      </c>
      <c r="C219" s="424">
        <v>0</v>
      </c>
      <c r="E219" s="104"/>
      <c r="F219" s="199">
        <f>IF($C$38=0,"",IF(C219="[for completion]","",IF(C219="","",C219/$C$38)))</f>
        <v>0</v>
      </c>
      <c r="G219" s="199">
        <f>IF($C$39=0,"",IF(C219="[for completion]","",IF(C219="","",C219/$C$39)))</f>
        <v>0</v>
      </c>
      <c r="H219" s="64"/>
      <c r="L219" s="64"/>
      <c r="M219" s="64"/>
      <c r="N219" s="96"/>
    </row>
    <row r="220" spans="1:14" x14ac:dyDescent="0.35">
      <c r="A220" s="66" t="s">
        <v>348</v>
      </c>
      <c r="B220" s="100" t="s">
        <v>145</v>
      </c>
      <c r="C220" s="187">
        <f>SUM(C217:C219)</f>
        <v>110.84937508</v>
      </c>
      <c r="E220" s="104"/>
      <c r="F220" s="181">
        <f>SUM(F217:F219)</f>
        <v>1.9006604630658609E-2</v>
      </c>
      <c r="G220" s="181">
        <f>SUM(G217:G219)</f>
        <v>3.1671250022857145E-2</v>
      </c>
      <c r="H220" s="64"/>
      <c r="L220" s="64"/>
      <c r="M220" s="64"/>
      <c r="N220" s="96"/>
    </row>
    <row r="221" spans="1:14" outlineLevel="1" x14ac:dyDescent="0.35">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5">
      <c r="A222" s="66" t="s">
        <v>350</v>
      </c>
      <c r="B222" s="95" t="s">
        <v>147</v>
      </c>
      <c r="C222" s="187"/>
      <c r="E222" s="104"/>
      <c r="F222" s="199" t="str">
        <f t="shared" si="18"/>
        <v/>
      </c>
      <c r="G222" s="199" t="str">
        <f t="shared" si="19"/>
        <v/>
      </c>
      <c r="H222" s="64"/>
      <c r="L222" s="64"/>
      <c r="M222" s="64"/>
      <c r="N222" s="96"/>
    </row>
    <row r="223" spans="1:14" outlineLevel="1" x14ac:dyDescent="0.35">
      <c r="A223" s="66" t="s">
        <v>351</v>
      </c>
      <c r="B223" s="95" t="s">
        <v>147</v>
      </c>
      <c r="C223" s="187"/>
      <c r="E223" s="104"/>
      <c r="F223" s="199" t="str">
        <f t="shared" si="18"/>
        <v/>
      </c>
      <c r="G223" s="199" t="str">
        <f t="shared" si="19"/>
        <v/>
      </c>
      <c r="H223" s="64"/>
      <c r="L223" s="64"/>
      <c r="M223" s="64"/>
      <c r="N223" s="96"/>
    </row>
    <row r="224" spans="1:14" outlineLevel="1" x14ac:dyDescent="0.35">
      <c r="A224" s="66" t="s">
        <v>352</v>
      </c>
      <c r="B224" s="95" t="s">
        <v>147</v>
      </c>
      <c r="C224" s="187"/>
      <c r="E224" s="104"/>
      <c r="F224" s="199" t="str">
        <f t="shared" si="18"/>
        <v/>
      </c>
      <c r="G224" s="199" t="str">
        <f t="shared" si="19"/>
        <v/>
      </c>
      <c r="H224" s="64"/>
      <c r="L224" s="64"/>
      <c r="M224" s="64"/>
      <c r="N224" s="96"/>
    </row>
    <row r="225" spans="1:14" outlineLevel="1" x14ac:dyDescent="0.35">
      <c r="A225" s="66" t="s">
        <v>353</v>
      </c>
      <c r="B225" s="95" t="s">
        <v>147</v>
      </c>
      <c r="C225" s="187"/>
      <c r="E225" s="104"/>
      <c r="F225" s="199" t="str">
        <f t="shared" si="18"/>
        <v/>
      </c>
      <c r="G225" s="199" t="str">
        <f t="shared" si="19"/>
        <v/>
      </c>
      <c r="H225" s="64"/>
      <c r="L225" s="64"/>
      <c r="M225" s="64"/>
    </row>
    <row r="226" spans="1:14" outlineLevel="1" x14ac:dyDescent="0.35">
      <c r="A226" s="66" t="s">
        <v>354</v>
      </c>
      <c r="B226" s="95" t="s">
        <v>147</v>
      </c>
      <c r="C226" s="187"/>
      <c r="E226" s="83"/>
      <c r="F226" s="199" t="str">
        <f t="shared" si="18"/>
        <v/>
      </c>
      <c r="G226" s="199" t="str">
        <f t="shared" si="19"/>
        <v/>
      </c>
      <c r="H226" s="64"/>
      <c r="L226" s="64"/>
      <c r="M226" s="64"/>
    </row>
    <row r="227" spans="1:14" outlineLevel="1" x14ac:dyDescent="0.35">
      <c r="A227" s="66" t="s">
        <v>355</v>
      </c>
      <c r="B227" s="95" t="s">
        <v>147</v>
      </c>
      <c r="C227" s="187"/>
      <c r="E227" s="104"/>
      <c r="F227" s="199" t="str">
        <f t="shared" si="18"/>
        <v/>
      </c>
      <c r="G227" s="199" t="str">
        <f t="shared" si="19"/>
        <v/>
      </c>
      <c r="H227" s="64"/>
      <c r="L227" s="64"/>
      <c r="M227" s="64"/>
    </row>
    <row r="228" spans="1:14" ht="15" customHeight="1" x14ac:dyDescent="0.35">
      <c r="A228" s="85"/>
      <c r="B228" s="86" t="s">
        <v>356</v>
      </c>
      <c r="C228" s="85"/>
      <c r="D228" s="85"/>
      <c r="E228" s="87"/>
      <c r="F228" s="88"/>
      <c r="G228" s="88"/>
      <c r="H228" s="64"/>
      <c r="L228" s="64"/>
      <c r="M228" s="64"/>
    </row>
    <row r="229" spans="1:14" ht="29" x14ac:dyDescent="0.35">
      <c r="A229" s="66" t="s">
        <v>357</v>
      </c>
      <c r="B229" s="83" t="s">
        <v>358</v>
      </c>
      <c r="C229" s="66" t="s">
        <v>104</v>
      </c>
      <c r="H229" s="64"/>
      <c r="L229" s="64"/>
      <c r="M229" s="64"/>
    </row>
    <row r="230" spans="1:14" ht="15" customHeight="1" x14ac:dyDescent="0.35">
      <c r="A230" s="85"/>
      <c r="B230" s="86" t="s">
        <v>359</v>
      </c>
      <c r="C230" s="85"/>
      <c r="D230" s="85"/>
      <c r="E230" s="87"/>
      <c r="F230" s="88"/>
      <c r="G230" s="88"/>
      <c r="H230" s="64"/>
      <c r="L230" s="64"/>
      <c r="M230" s="64"/>
    </row>
    <row r="231" spans="1:14" x14ac:dyDescent="0.35">
      <c r="A231" s="66" t="s">
        <v>11</v>
      </c>
      <c r="B231" s="66" t="s">
        <v>1386</v>
      </c>
      <c r="C231" s="187" t="s">
        <v>82</v>
      </c>
      <c r="E231" s="83"/>
      <c r="H231" s="64"/>
      <c r="L231" s="64"/>
      <c r="M231" s="64"/>
    </row>
    <row r="232" spans="1:14" x14ac:dyDescent="0.35">
      <c r="A232" s="66" t="s">
        <v>360</v>
      </c>
      <c r="B232" s="107" t="s">
        <v>361</v>
      </c>
      <c r="C232" s="187" t="s">
        <v>82</v>
      </c>
      <c r="E232" s="83"/>
      <c r="H232" s="64"/>
      <c r="L232" s="64"/>
      <c r="M232" s="64"/>
    </row>
    <row r="233" spans="1:14" x14ac:dyDescent="0.35">
      <c r="A233" s="66" t="s">
        <v>362</v>
      </c>
      <c r="B233" s="107" t="s">
        <v>363</v>
      </c>
      <c r="C233" s="187" t="s">
        <v>82</v>
      </c>
      <c r="E233" s="83"/>
      <c r="H233" s="64"/>
      <c r="L233" s="64"/>
      <c r="M233" s="64"/>
    </row>
    <row r="234" spans="1:14" outlineLevel="1" x14ac:dyDescent="0.35">
      <c r="A234" s="66" t="s">
        <v>364</v>
      </c>
      <c r="B234" s="81" t="s">
        <v>365</v>
      </c>
      <c r="C234" s="189"/>
      <c r="D234" s="83"/>
      <c r="E234" s="83"/>
      <c r="H234" s="64"/>
      <c r="L234" s="64"/>
      <c r="M234" s="64"/>
    </row>
    <row r="235" spans="1:14" outlineLevel="1" x14ac:dyDescent="0.35">
      <c r="A235" s="66" t="s">
        <v>366</v>
      </c>
      <c r="B235" s="81" t="s">
        <v>367</v>
      </c>
      <c r="C235" s="189"/>
      <c r="D235" s="83"/>
      <c r="E235" s="83"/>
      <c r="H235" s="64"/>
      <c r="L235" s="64"/>
      <c r="M235" s="64"/>
    </row>
    <row r="236" spans="1:14" outlineLevel="1" x14ac:dyDescent="0.35">
      <c r="A236" s="66" t="s">
        <v>368</v>
      </c>
      <c r="B236" s="81" t="s">
        <v>369</v>
      </c>
      <c r="C236" s="261"/>
      <c r="D236" s="83"/>
      <c r="E236" s="83"/>
      <c r="H236" s="64"/>
      <c r="L236" s="64"/>
      <c r="M236" s="64"/>
    </row>
    <row r="237" spans="1:14" outlineLevel="1" x14ac:dyDescent="0.35">
      <c r="A237" s="66" t="s">
        <v>370</v>
      </c>
      <c r="C237" s="83"/>
      <c r="D237" s="83"/>
      <c r="E237" s="83"/>
      <c r="H237" s="64"/>
      <c r="L237" s="64"/>
      <c r="M237" s="64"/>
    </row>
    <row r="238" spans="1:14" outlineLevel="1" x14ac:dyDescent="0.35">
      <c r="A238" s="66" t="s">
        <v>371</v>
      </c>
      <c r="C238" s="83"/>
      <c r="D238" s="83"/>
      <c r="E238" s="83"/>
      <c r="H238" s="64"/>
      <c r="L238" s="64"/>
      <c r="M238" s="64"/>
    </row>
    <row r="239" spans="1:14" outlineLevel="1" x14ac:dyDescent="0.35">
      <c r="A239" s="85"/>
      <c r="B239" s="86" t="s">
        <v>2298</v>
      </c>
      <c r="C239" s="85"/>
      <c r="D239" s="85"/>
      <c r="E239" s="87"/>
      <c r="F239" s="88"/>
      <c r="G239" s="88"/>
      <c r="H239" s="64"/>
      <c r="K239" s="108"/>
      <c r="L239" s="108"/>
      <c r="M239" s="108"/>
      <c r="N239" s="108"/>
    </row>
    <row r="240" spans="1:14" outlineLevel="1" x14ac:dyDescent="0.35">
      <c r="A240" s="66" t="s">
        <v>1588</v>
      </c>
      <c r="B240" s="66" t="s">
        <v>2223</v>
      </c>
      <c r="C240" s="66" t="s">
        <v>82</v>
      </c>
      <c r="D240" s="258"/>
      <c r="E240"/>
      <c r="F240"/>
      <c r="G240"/>
      <c r="H240" s="64"/>
      <c r="K240" s="108"/>
      <c r="L240" s="108"/>
      <c r="M240" s="108"/>
      <c r="N240" s="108"/>
    </row>
    <row r="241" spans="1:14" ht="29" outlineLevel="1" x14ac:dyDescent="0.35">
      <c r="A241" s="66" t="s">
        <v>1591</v>
      </c>
      <c r="B241" s="66" t="s">
        <v>2265</v>
      </c>
      <c r="C241" s="339" t="s">
        <v>82</v>
      </c>
      <c r="D241" s="258"/>
      <c r="E241"/>
      <c r="F241"/>
      <c r="G241"/>
      <c r="H241" s="64"/>
      <c r="K241" s="108"/>
      <c r="L241" s="108"/>
      <c r="M241" s="108"/>
      <c r="N241" s="108"/>
    </row>
    <row r="242" spans="1:14" outlineLevel="1" x14ac:dyDescent="0.35">
      <c r="A242" s="66" t="s">
        <v>2221</v>
      </c>
      <c r="B242" s="66" t="s">
        <v>1593</v>
      </c>
      <c r="C242" s="339" t="s">
        <v>1594</v>
      </c>
      <c r="D242" s="258"/>
      <c r="E242"/>
      <c r="F242"/>
      <c r="G242"/>
      <c r="H242" s="64"/>
      <c r="K242" s="108"/>
      <c r="L242" s="108"/>
      <c r="M242" s="108"/>
      <c r="N242" s="108"/>
    </row>
    <row r="243" spans="1:14" ht="29" outlineLevel="1" x14ac:dyDescent="0.35">
      <c r="A243" s="275" t="s">
        <v>2222</v>
      </c>
      <c r="B243" s="66" t="s">
        <v>1589</v>
      </c>
      <c r="C243" s="66" t="s">
        <v>1590</v>
      </c>
      <c r="D243" s="258"/>
      <c r="E243"/>
      <c r="F243"/>
      <c r="G243"/>
      <c r="H243" s="64"/>
      <c r="K243" s="108"/>
      <c r="L243" s="108"/>
      <c r="M243" s="108"/>
      <c r="N243" s="108"/>
    </row>
    <row r="244" spans="1:14" outlineLevel="1" x14ac:dyDescent="0.35">
      <c r="A244" s="66" t="s">
        <v>1595</v>
      </c>
      <c r="D244" s="258"/>
      <c r="E244"/>
      <c r="F244"/>
      <c r="G244"/>
      <c r="H244" s="64"/>
      <c r="K244" s="108"/>
      <c r="L244" s="108"/>
      <c r="M244" s="108"/>
      <c r="N244" s="108"/>
    </row>
    <row r="245" spans="1:14" outlineLevel="1" x14ac:dyDescent="0.35">
      <c r="A245" s="275" t="s">
        <v>1596</v>
      </c>
      <c r="D245" s="258"/>
      <c r="E245"/>
      <c r="F245"/>
      <c r="G245"/>
      <c r="H245" s="64"/>
      <c r="K245" s="108"/>
      <c r="L245" s="108"/>
      <c r="M245" s="108"/>
      <c r="N245" s="108"/>
    </row>
    <row r="246" spans="1:14" outlineLevel="1" x14ac:dyDescent="0.35">
      <c r="A246" s="275" t="s">
        <v>1592</v>
      </c>
      <c r="D246" s="258"/>
      <c r="E246"/>
      <c r="F246"/>
      <c r="G246"/>
      <c r="H246" s="64"/>
      <c r="K246" s="108"/>
      <c r="L246" s="108"/>
      <c r="M246" s="108"/>
      <c r="N246" s="108"/>
    </row>
    <row r="247" spans="1:14" outlineLevel="1" x14ac:dyDescent="0.35">
      <c r="A247" s="275" t="s">
        <v>1597</v>
      </c>
      <c r="D247" s="258"/>
      <c r="E247"/>
      <c r="F247"/>
      <c r="G247"/>
      <c r="H247" s="64"/>
      <c r="K247" s="108"/>
      <c r="L247" s="108"/>
      <c r="M247" s="108"/>
      <c r="N247" s="108"/>
    </row>
    <row r="248" spans="1:14" outlineLevel="1" x14ac:dyDescent="0.35">
      <c r="A248" s="275" t="s">
        <v>1598</v>
      </c>
      <c r="D248" s="258"/>
      <c r="E248"/>
      <c r="F248"/>
      <c r="G248"/>
      <c r="H248" s="64"/>
      <c r="K248" s="108"/>
      <c r="L248" s="108"/>
      <c r="M248" s="108"/>
      <c r="N248" s="108"/>
    </row>
    <row r="249" spans="1:14" outlineLevel="1" x14ac:dyDescent="0.35">
      <c r="A249" s="275" t="s">
        <v>1599</v>
      </c>
      <c r="D249" s="258"/>
      <c r="E249"/>
      <c r="F249"/>
      <c r="G249"/>
      <c r="H249" s="64"/>
      <c r="K249" s="108"/>
      <c r="L249" s="108"/>
      <c r="M249" s="108"/>
      <c r="N249" s="108"/>
    </row>
    <row r="250" spans="1:14" outlineLevel="1" x14ac:dyDescent="0.35">
      <c r="A250" s="275" t="s">
        <v>1600</v>
      </c>
      <c r="D250" s="258"/>
      <c r="E250"/>
      <c r="F250"/>
      <c r="G250"/>
      <c r="H250" s="64"/>
      <c r="K250" s="108"/>
      <c r="L250" s="108"/>
      <c r="M250" s="108"/>
      <c r="N250" s="108"/>
    </row>
    <row r="251" spans="1:14" outlineLevel="1" x14ac:dyDescent="0.35">
      <c r="A251" s="275" t="s">
        <v>1601</v>
      </c>
      <c r="D251" s="258"/>
      <c r="E251"/>
      <c r="F251"/>
      <c r="G251"/>
      <c r="H251" s="64"/>
      <c r="K251" s="108"/>
      <c r="L251" s="108"/>
      <c r="M251" s="108"/>
      <c r="N251" s="108"/>
    </row>
    <row r="252" spans="1:14" outlineLevel="1" x14ac:dyDescent="0.35">
      <c r="A252" s="275" t="s">
        <v>1602</v>
      </c>
      <c r="D252" s="258"/>
      <c r="E252"/>
      <c r="F252"/>
      <c r="G252"/>
      <c r="H252" s="64"/>
      <c r="K252" s="108"/>
      <c r="L252" s="108"/>
      <c r="M252" s="108"/>
      <c r="N252" s="108"/>
    </row>
    <row r="253" spans="1:14" outlineLevel="1" x14ac:dyDescent="0.35">
      <c r="A253" s="275" t="s">
        <v>1603</v>
      </c>
      <c r="D253" s="258"/>
      <c r="E253"/>
      <c r="F253"/>
      <c r="G253"/>
      <c r="H253" s="64"/>
      <c r="K253" s="108"/>
      <c r="L253" s="108"/>
      <c r="M253" s="108"/>
      <c r="N253" s="108"/>
    </row>
    <row r="254" spans="1:14" outlineLevel="1" x14ac:dyDescent="0.35">
      <c r="A254" s="275" t="s">
        <v>1604</v>
      </c>
      <c r="D254" s="258"/>
      <c r="E254"/>
      <c r="F254"/>
      <c r="G254"/>
      <c r="H254" s="64"/>
      <c r="K254" s="108"/>
      <c r="L254" s="108"/>
      <c r="M254" s="108"/>
      <c r="N254" s="108"/>
    </row>
    <row r="255" spans="1:14" outlineLevel="1" x14ac:dyDescent="0.35">
      <c r="A255" s="275" t="s">
        <v>1605</v>
      </c>
      <c r="D255" s="258"/>
      <c r="E255"/>
      <c r="F255"/>
      <c r="G255"/>
      <c r="H255" s="64"/>
      <c r="K255" s="108"/>
      <c r="L255" s="108"/>
      <c r="M255" s="108"/>
      <c r="N255" s="108"/>
    </row>
    <row r="256" spans="1:14" outlineLevel="1" x14ac:dyDescent="0.35">
      <c r="A256" s="275" t="s">
        <v>1606</v>
      </c>
      <c r="D256" s="258"/>
      <c r="E256"/>
      <c r="F256"/>
      <c r="G256"/>
      <c r="H256" s="64"/>
      <c r="K256" s="108"/>
      <c r="L256" s="108"/>
      <c r="M256" s="108"/>
      <c r="N256" s="108"/>
    </row>
    <row r="257" spans="1:14" outlineLevel="1" x14ac:dyDescent="0.35">
      <c r="A257" s="275" t="s">
        <v>1607</v>
      </c>
      <c r="D257" s="258"/>
      <c r="E257"/>
      <c r="F257"/>
      <c r="G257"/>
      <c r="H257" s="64"/>
      <c r="K257" s="108"/>
      <c r="L257" s="108"/>
      <c r="M257" s="108"/>
      <c r="N257" s="108"/>
    </row>
    <row r="258" spans="1:14" outlineLevel="1" x14ac:dyDescent="0.35">
      <c r="A258" s="275" t="s">
        <v>1608</v>
      </c>
      <c r="D258" s="258"/>
      <c r="E258"/>
      <c r="F258"/>
      <c r="G258"/>
      <c r="H258" s="64"/>
      <c r="K258" s="108"/>
      <c r="L258" s="108"/>
      <c r="M258" s="108"/>
      <c r="N258" s="108"/>
    </row>
    <row r="259" spans="1:14" outlineLevel="1" x14ac:dyDescent="0.35">
      <c r="A259" s="275" t="s">
        <v>1609</v>
      </c>
      <c r="D259" s="258"/>
      <c r="E259"/>
      <c r="F259"/>
      <c r="G259"/>
      <c r="H259" s="64"/>
      <c r="K259" s="108"/>
      <c r="L259" s="108"/>
      <c r="M259" s="108"/>
      <c r="N259" s="108"/>
    </row>
    <row r="260" spans="1:14" outlineLevel="1" x14ac:dyDescent="0.35">
      <c r="A260" s="275" t="s">
        <v>1610</v>
      </c>
      <c r="D260" s="258"/>
      <c r="E260"/>
      <c r="F260"/>
      <c r="G260"/>
      <c r="H260" s="64"/>
      <c r="K260" s="108"/>
      <c r="L260" s="108"/>
      <c r="M260" s="108"/>
      <c r="N260" s="108"/>
    </row>
    <row r="261" spans="1:14" outlineLevel="1" x14ac:dyDescent="0.35">
      <c r="A261" s="275" t="s">
        <v>1611</v>
      </c>
      <c r="D261" s="258"/>
      <c r="E261"/>
      <c r="F261"/>
      <c r="G261"/>
      <c r="H261" s="64"/>
      <c r="K261" s="108"/>
      <c r="L261" s="108"/>
      <c r="M261" s="108"/>
      <c r="N261" s="108"/>
    </row>
    <row r="262" spans="1:14" outlineLevel="1" x14ac:dyDescent="0.35">
      <c r="A262" s="275" t="s">
        <v>1612</v>
      </c>
      <c r="D262" s="258"/>
      <c r="E262"/>
      <c r="F262"/>
      <c r="G262"/>
      <c r="H262" s="64"/>
      <c r="K262" s="108"/>
      <c r="L262" s="108"/>
      <c r="M262" s="108"/>
      <c r="N262" s="108"/>
    </row>
    <row r="263" spans="1:14" outlineLevel="1" x14ac:dyDescent="0.35">
      <c r="A263" s="275" t="s">
        <v>1613</v>
      </c>
      <c r="D263" s="258"/>
      <c r="E263"/>
      <c r="F263"/>
      <c r="G263"/>
      <c r="H263" s="64"/>
      <c r="K263" s="108"/>
      <c r="L263" s="108"/>
      <c r="M263" s="108"/>
      <c r="N263" s="108"/>
    </row>
    <row r="264" spans="1:14" outlineLevel="1" x14ac:dyDescent="0.35">
      <c r="A264" s="275" t="s">
        <v>1614</v>
      </c>
      <c r="D264" s="258"/>
      <c r="E264"/>
      <c r="F264"/>
      <c r="G264"/>
      <c r="H264" s="64"/>
      <c r="K264" s="108"/>
      <c r="L264" s="108"/>
      <c r="M264" s="108"/>
      <c r="N264" s="108"/>
    </row>
    <row r="265" spans="1:14" outlineLevel="1" x14ac:dyDescent="0.35">
      <c r="A265" s="275" t="s">
        <v>1615</v>
      </c>
      <c r="D265" s="258"/>
      <c r="E265"/>
      <c r="F265"/>
      <c r="G265"/>
      <c r="H265" s="64"/>
      <c r="K265" s="108"/>
      <c r="L265" s="108"/>
      <c r="M265" s="108"/>
      <c r="N265" s="108"/>
    </row>
    <row r="266" spans="1:14" outlineLevel="1" x14ac:dyDescent="0.35">
      <c r="A266" s="275" t="s">
        <v>1616</v>
      </c>
      <c r="D266" s="258"/>
      <c r="E266"/>
      <c r="F266"/>
      <c r="G266"/>
      <c r="H266" s="64"/>
      <c r="K266" s="108"/>
      <c r="L266" s="108"/>
      <c r="M266" s="108"/>
      <c r="N266" s="108"/>
    </row>
    <row r="267" spans="1:14" outlineLevel="1" x14ac:dyDescent="0.35">
      <c r="A267" s="275" t="s">
        <v>1617</v>
      </c>
      <c r="D267" s="258"/>
      <c r="E267"/>
      <c r="F267"/>
      <c r="G267"/>
      <c r="H267" s="64"/>
      <c r="K267" s="108"/>
      <c r="L267" s="108"/>
      <c r="M267" s="108"/>
      <c r="N267" s="108"/>
    </row>
    <row r="268" spans="1:14" outlineLevel="1" x14ac:dyDescent="0.35">
      <c r="A268" s="275" t="s">
        <v>1618</v>
      </c>
      <c r="D268" s="258"/>
      <c r="E268"/>
      <c r="F268"/>
      <c r="G268"/>
      <c r="H268" s="64"/>
      <c r="K268" s="108"/>
      <c r="L268" s="108"/>
      <c r="M268" s="108"/>
      <c r="N268" s="108"/>
    </row>
    <row r="269" spans="1:14" outlineLevel="1" x14ac:dyDescent="0.35">
      <c r="A269" s="275" t="s">
        <v>1619</v>
      </c>
      <c r="D269" s="258"/>
      <c r="E269"/>
      <c r="F269"/>
      <c r="G269"/>
      <c r="H269" s="64"/>
      <c r="K269" s="108"/>
      <c r="L269" s="108"/>
      <c r="M269" s="108"/>
      <c r="N269" s="108"/>
    </row>
    <row r="270" spans="1:14" outlineLevel="1" x14ac:dyDescent="0.35">
      <c r="A270" s="275" t="s">
        <v>1620</v>
      </c>
      <c r="D270" s="258"/>
      <c r="E270"/>
      <c r="F270"/>
      <c r="G270"/>
      <c r="H270" s="64"/>
      <c r="K270" s="108"/>
      <c r="L270" s="108"/>
      <c r="M270" s="108"/>
      <c r="N270" s="108"/>
    </row>
    <row r="271" spans="1:14" outlineLevel="1" x14ac:dyDescent="0.35">
      <c r="A271" s="275" t="s">
        <v>1621</v>
      </c>
      <c r="D271" s="258"/>
      <c r="E271"/>
      <c r="F271"/>
      <c r="G271"/>
      <c r="H271" s="64"/>
      <c r="K271" s="108"/>
      <c r="L271" s="108"/>
      <c r="M271" s="108"/>
      <c r="N271" s="108"/>
    </row>
    <row r="272" spans="1:14" outlineLevel="1" x14ac:dyDescent="0.35">
      <c r="A272" s="275" t="s">
        <v>1622</v>
      </c>
      <c r="D272" s="258"/>
      <c r="E272"/>
      <c r="F272"/>
      <c r="G272"/>
      <c r="H272" s="64"/>
      <c r="K272" s="108"/>
      <c r="L272" s="108"/>
      <c r="M272" s="108"/>
      <c r="N272" s="108"/>
    </row>
    <row r="273" spans="1:14" outlineLevel="1" x14ac:dyDescent="0.35">
      <c r="A273" s="275" t="s">
        <v>1623</v>
      </c>
      <c r="D273" s="258"/>
      <c r="E273"/>
      <c r="F273"/>
      <c r="G273"/>
      <c r="H273" s="64"/>
      <c r="K273" s="108"/>
      <c r="L273" s="108"/>
      <c r="M273" s="108"/>
      <c r="N273" s="108"/>
    </row>
    <row r="274" spans="1:14" outlineLevel="1" x14ac:dyDescent="0.35">
      <c r="A274" s="275" t="s">
        <v>1624</v>
      </c>
      <c r="D274" s="258"/>
      <c r="E274"/>
      <c r="F274"/>
      <c r="G274"/>
      <c r="H274" s="64"/>
      <c r="K274" s="108"/>
      <c r="L274" s="108"/>
      <c r="M274" s="108"/>
      <c r="N274" s="108"/>
    </row>
    <row r="275" spans="1:14" outlineLevel="1" x14ac:dyDescent="0.35">
      <c r="A275" s="275" t="s">
        <v>1625</v>
      </c>
      <c r="D275" s="258"/>
      <c r="E275"/>
      <c r="F275"/>
      <c r="G275"/>
      <c r="H275" s="64"/>
      <c r="K275" s="108"/>
      <c r="L275" s="108"/>
      <c r="M275" s="108"/>
      <c r="N275" s="108"/>
    </row>
    <row r="276" spans="1:14" outlineLevel="1" x14ac:dyDescent="0.35">
      <c r="A276" s="275" t="s">
        <v>1626</v>
      </c>
      <c r="D276" s="258"/>
      <c r="E276"/>
      <c r="F276"/>
      <c r="G276"/>
      <c r="H276" s="64"/>
      <c r="K276" s="108"/>
      <c r="L276" s="108"/>
      <c r="M276" s="108"/>
      <c r="N276" s="108"/>
    </row>
    <row r="277" spans="1:14" outlineLevel="1" x14ac:dyDescent="0.35">
      <c r="A277" s="275" t="s">
        <v>1627</v>
      </c>
      <c r="D277" s="258"/>
      <c r="E277"/>
      <c r="F277"/>
      <c r="G277"/>
      <c r="H277" s="64"/>
      <c r="K277" s="108"/>
      <c r="L277" s="108"/>
      <c r="M277" s="108"/>
      <c r="N277" s="108"/>
    </row>
    <row r="278" spans="1:14" outlineLevel="1" x14ac:dyDescent="0.35">
      <c r="A278" s="275" t="s">
        <v>1628</v>
      </c>
      <c r="D278" s="258"/>
      <c r="E278"/>
      <c r="F278"/>
      <c r="G278"/>
      <c r="H278" s="64"/>
      <c r="K278" s="108"/>
      <c r="L278" s="108"/>
      <c r="M278" s="108"/>
      <c r="N278" s="108"/>
    </row>
    <row r="279" spans="1:14" outlineLevel="1" x14ac:dyDescent="0.35">
      <c r="A279" s="275" t="s">
        <v>1629</v>
      </c>
      <c r="D279" s="258"/>
      <c r="E279"/>
      <c r="F279"/>
      <c r="G279"/>
      <c r="H279" s="64"/>
      <c r="K279" s="108"/>
      <c r="L279" s="108"/>
      <c r="M279" s="108"/>
      <c r="N279" s="108"/>
    </row>
    <row r="280" spans="1:14" outlineLevel="1" x14ac:dyDescent="0.35">
      <c r="A280" s="275" t="s">
        <v>1630</v>
      </c>
      <c r="D280" s="258"/>
      <c r="E280"/>
      <c r="F280"/>
      <c r="G280"/>
      <c r="H280" s="64"/>
      <c r="K280" s="108"/>
      <c r="L280" s="108"/>
      <c r="M280" s="108"/>
      <c r="N280" s="108"/>
    </row>
    <row r="281" spans="1:14" outlineLevel="1" x14ac:dyDescent="0.35">
      <c r="A281" s="275" t="s">
        <v>1631</v>
      </c>
      <c r="D281" s="258"/>
      <c r="E281"/>
      <c r="F281"/>
      <c r="G281"/>
      <c r="H281" s="64"/>
      <c r="K281" s="108"/>
      <c r="L281" s="108"/>
      <c r="M281" s="108"/>
      <c r="N281" s="108"/>
    </row>
    <row r="282" spans="1:14" outlineLevel="1" x14ac:dyDescent="0.35">
      <c r="A282" s="275" t="s">
        <v>1632</v>
      </c>
      <c r="D282" s="258"/>
      <c r="E282"/>
      <c r="F282"/>
      <c r="G282"/>
      <c r="H282" s="64"/>
      <c r="K282" s="108"/>
      <c r="L282" s="108"/>
      <c r="M282" s="108"/>
      <c r="N282" s="108"/>
    </row>
    <row r="283" spans="1:14" outlineLevel="1" x14ac:dyDescent="0.35">
      <c r="A283" s="275" t="s">
        <v>1633</v>
      </c>
      <c r="D283" s="258"/>
      <c r="E283"/>
      <c r="F283"/>
      <c r="G283"/>
      <c r="H283" s="64"/>
      <c r="K283" s="108"/>
      <c r="L283" s="108"/>
      <c r="M283" s="108"/>
      <c r="N283" s="108"/>
    </row>
    <row r="284" spans="1:14" outlineLevel="1" x14ac:dyDescent="0.35">
      <c r="A284" s="275" t="s">
        <v>1634</v>
      </c>
      <c r="D284" s="258"/>
      <c r="E284"/>
      <c r="F284"/>
      <c r="G284"/>
      <c r="H284" s="64"/>
      <c r="K284" s="108"/>
      <c r="L284" s="108"/>
      <c r="M284" s="108"/>
      <c r="N284" s="108"/>
    </row>
    <row r="285" spans="1:14" ht="18.5" x14ac:dyDescent="0.35">
      <c r="A285" s="77"/>
      <c r="B285" s="77" t="s">
        <v>2640</v>
      </c>
      <c r="C285" s="77" t="s">
        <v>1</v>
      </c>
      <c r="D285" s="77" t="s">
        <v>1</v>
      </c>
      <c r="E285" s="77"/>
      <c r="F285" s="78"/>
      <c r="G285" s="79"/>
      <c r="H285" s="64"/>
      <c r="I285" s="70"/>
      <c r="J285" s="70"/>
      <c r="K285" s="70"/>
      <c r="L285" s="70"/>
      <c r="M285" s="72"/>
    </row>
    <row r="286" spans="1:14" ht="18.5" x14ac:dyDescent="0.35">
      <c r="A286" s="372" t="s">
        <v>2641</v>
      </c>
      <c r="B286" s="373"/>
      <c r="C286" s="373"/>
      <c r="D286" s="373"/>
      <c r="E286" s="373"/>
      <c r="F286" s="374"/>
      <c r="G286" s="373"/>
      <c r="H286" s="64"/>
      <c r="I286" s="70"/>
      <c r="J286" s="70"/>
      <c r="K286" s="70"/>
      <c r="L286" s="70"/>
      <c r="M286" s="72"/>
    </row>
    <row r="287" spans="1:14" ht="18.5" x14ac:dyDescent="0.35">
      <c r="A287" s="372" t="s">
        <v>2303</v>
      </c>
      <c r="B287" s="373"/>
      <c r="C287" s="373"/>
      <c r="D287" s="373"/>
      <c r="E287" s="373"/>
      <c r="F287" s="374"/>
      <c r="G287" s="373"/>
      <c r="H287" s="64"/>
      <c r="I287" s="70"/>
      <c r="J287" s="70"/>
      <c r="K287" s="70"/>
      <c r="L287" s="70"/>
      <c r="M287" s="72"/>
    </row>
    <row r="288" spans="1:14" x14ac:dyDescent="0.35">
      <c r="A288" s="362" t="s">
        <v>372</v>
      </c>
      <c r="B288" s="81" t="s">
        <v>2642</v>
      </c>
      <c r="C288" s="109">
        <f>ROW(B38)</f>
        <v>38</v>
      </c>
      <c r="D288" s="103"/>
      <c r="E288" s="103"/>
      <c r="F288" s="103"/>
      <c r="G288" s="103"/>
      <c r="H288" s="64"/>
      <c r="I288" s="81"/>
      <c r="J288" s="109"/>
      <c r="L288" s="103"/>
      <c r="M288" s="103"/>
      <c r="N288" s="103"/>
    </row>
    <row r="289" spans="1:14" x14ac:dyDescent="0.35">
      <c r="A289" s="362" t="s">
        <v>373</v>
      </c>
      <c r="B289" s="81" t="s">
        <v>2643</v>
      </c>
      <c r="C289" s="109">
        <f>ROW(B39)</f>
        <v>39</v>
      </c>
      <c r="D289" s="362"/>
      <c r="E289" s="103"/>
      <c r="F289" s="103"/>
      <c r="G289" s="218"/>
      <c r="H289" s="64"/>
      <c r="I289" s="81"/>
      <c r="J289" s="109"/>
      <c r="L289" s="103"/>
      <c r="M289" s="103"/>
    </row>
    <row r="290" spans="1:14" ht="29" x14ac:dyDescent="0.35">
      <c r="A290" s="362" t="s">
        <v>374</v>
      </c>
      <c r="B290" s="81" t="s">
        <v>2644</v>
      </c>
      <c r="C290" s="339" t="s">
        <v>2645</v>
      </c>
      <c r="D290" s="362"/>
      <c r="E290" s="362"/>
      <c r="F290" s="362"/>
      <c r="G290" s="110"/>
      <c r="H290" s="64"/>
      <c r="I290" s="81"/>
      <c r="J290" s="109"/>
      <c r="K290" s="109"/>
      <c r="L290" s="110"/>
      <c r="M290" s="103"/>
      <c r="N290" s="110"/>
    </row>
    <row r="291" spans="1:14" x14ac:dyDescent="0.35">
      <c r="A291" s="362" t="s">
        <v>375</v>
      </c>
      <c r="B291" s="81" t="s">
        <v>2646</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5">
      <c r="A292" s="362" t="s">
        <v>376</v>
      </c>
      <c r="B292" s="81" t="s">
        <v>2647</v>
      </c>
      <c r="C292" s="109">
        <f>ROW(B52)</f>
        <v>52</v>
      </c>
      <c r="D292" s="362"/>
      <c r="E292" s="362"/>
      <c r="F292" s="362"/>
      <c r="G292" s="110"/>
      <c r="H292" s="64"/>
      <c r="I292" s="81"/>
      <c r="J292" s="108"/>
      <c r="K292" s="109"/>
      <c r="L292" s="110"/>
      <c r="N292" s="110"/>
    </row>
    <row r="293" spans="1:14" x14ac:dyDescent="0.35">
      <c r="A293" s="362" t="s">
        <v>377</v>
      </c>
      <c r="B293" s="81" t="s">
        <v>2648</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2" t="s">
        <v>378</v>
      </c>
      <c r="B294" s="81" t="s">
        <v>2649</v>
      </c>
      <c r="C294" s="375" t="s">
        <v>2772</v>
      </c>
      <c r="D294" s="362"/>
      <c r="E294" s="362"/>
      <c r="F294" s="362"/>
      <c r="G294" s="218"/>
      <c r="H294" s="64"/>
      <c r="I294" s="81"/>
      <c r="J294" s="109"/>
      <c r="M294" s="110"/>
    </row>
    <row r="295" spans="1:14" x14ac:dyDescent="0.35">
      <c r="A295" s="362" t="s">
        <v>379</v>
      </c>
      <c r="B295" s="81" t="s">
        <v>2650</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5">
      <c r="A296" s="362" t="s">
        <v>380</v>
      </c>
      <c r="B296" s="81" t="s">
        <v>2651</v>
      </c>
      <c r="C296" s="109">
        <f>ROW(B111)</f>
        <v>111</v>
      </c>
      <c r="D296" s="362"/>
      <c r="E296" s="362"/>
      <c r="F296" s="110"/>
      <c r="G296" s="218"/>
      <c r="H296" s="64"/>
      <c r="I296" s="81"/>
      <c r="J296" s="109"/>
      <c r="L296" s="110"/>
      <c r="M296" s="110"/>
    </row>
    <row r="297" spans="1:14" x14ac:dyDescent="0.35">
      <c r="A297" s="362" t="s">
        <v>381</v>
      </c>
      <c r="B297" s="81" t="s">
        <v>2652</v>
      </c>
      <c r="C297" s="109">
        <f>ROW(B163)</f>
        <v>163</v>
      </c>
      <c r="D297" s="362"/>
      <c r="E297" s="110"/>
      <c r="F297" s="110"/>
      <c r="G297" s="218"/>
      <c r="H297" s="64"/>
      <c r="J297" s="109"/>
      <c r="L297" s="110"/>
    </row>
    <row r="298" spans="1:14" x14ac:dyDescent="0.35">
      <c r="A298" s="362" t="s">
        <v>382</v>
      </c>
      <c r="B298" s="81" t="s">
        <v>2653</v>
      </c>
      <c r="C298" s="109">
        <f>ROW(B137)</f>
        <v>137</v>
      </c>
      <c r="D298" s="362"/>
      <c r="E298" s="110"/>
      <c r="F298" s="110"/>
      <c r="G298" s="218"/>
      <c r="H298" s="64"/>
      <c r="I298" s="81"/>
      <c r="J298" s="109"/>
      <c r="L298" s="110"/>
    </row>
    <row r="299" spans="1:14" x14ac:dyDescent="0.35">
      <c r="A299" s="362" t="s">
        <v>383</v>
      </c>
      <c r="B299" s="81" t="s">
        <v>2654</v>
      </c>
      <c r="C299" s="339"/>
      <c r="D299" s="362"/>
      <c r="E299" s="110"/>
      <c r="F299" s="362"/>
      <c r="G299" s="218"/>
      <c r="H299" s="64"/>
      <c r="I299" s="81"/>
      <c r="J299" s="362" t="s">
        <v>2662</v>
      </c>
      <c r="L299" s="110"/>
    </row>
    <row r="300" spans="1:14" x14ac:dyDescent="0.35">
      <c r="A300" s="362" t="s">
        <v>384</v>
      </c>
      <c r="B300" s="81" t="s">
        <v>2655</v>
      </c>
      <c r="C300" s="109" t="s">
        <v>2665</v>
      </c>
      <c r="D300" s="109" t="s">
        <v>2664</v>
      </c>
      <c r="E300" s="110"/>
      <c r="F300" s="362"/>
      <c r="G300" s="218"/>
      <c r="H300" s="64"/>
      <c r="I300" s="81"/>
      <c r="J300" s="362" t="s">
        <v>2663</v>
      </c>
      <c r="K300" s="109"/>
      <c r="L300" s="110"/>
    </row>
    <row r="301" spans="1:14" outlineLevel="1" x14ac:dyDescent="0.35">
      <c r="A301" s="362" t="s">
        <v>2759</v>
      </c>
      <c r="B301" s="81" t="s">
        <v>2656</v>
      </c>
      <c r="C301" s="109" t="s">
        <v>2666</v>
      </c>
      <c r="D301" s="362"/>
      <c r="E301" s="362"/>
      <c r="F301" s="362"/>
      <c r="G301" s="218"/>
      <c r="H301" s="64"/>
      <c r="I301" s="81"/>
      <c r="J301" s="362" t="s">
        <v>2688</v>
      </c>
      <c r="K301" s="109"/>
      <c r="L301" s="110"/>
    </row>
    <row r="302" spans="1:14" outlineLevel="1" x14ac:dyDescent="0.35">
      <c r="A302" s="362" t="s">
        <v>2760</v>
      </c>
      <c r="B302" s="81" t="s">
        <v>2660</v>
      </c>
      <c r="C302" s="109" t="str">
        <f>ROW('C. HTT Harmonised Glossary'!B18)&amp;" for Harmonised Glossary"</f>
        <v>18 for Harmonised Glossary</v>
      </c>
      <c r="D302" s="362"/>
      <c r="E302" s="362"/>
      <c r="F302" s="362"/>
      <c r="G302" s="218"/>
      <c r="H302" s="64"/>
      <c r="I302" s="81"/>
      <c r="J302" s="362" t="s">
        <v>1644</v>
      </c>
      <c r="K302" s="109"/>
      <c r="L302" s="110"/>
    </row>
    <row r="303" spans="1:14" outlineLevel="1" x14ac:dyDescent="0.35">
      <c r="A303" s="362" t="s">
        <v>2761</v>
      </c>
      <c r="B303" s="81" t="s">
        <v>2657</v>
      </c>
      <c r="C303" s="109">
        <f>ROW(B65)</f>
        <v>65</v>
      </c>
      <c r="D303" s="362"/>
      <c r="E303" s="362"/>
      <c r="F303" s="362"/>
      <c r="G303" s="218"/>
      <c r="H303" s="64"/>
      <c r="I303" s="81"/>
      <c r="J303" s="109"/>
      <c r="K303" s="109"/>
      <c r="L303" s="110"/>
    </row>
    <row r="304" spans="1:14" outlineLevel="1" x14ac:dyDescent="0.35">
      <c r="A304" s="362" t="s">
        <v>2762</v>
      </c>
      <c r="B304" s="81" t="s">
        <v>2658</v>
      </c>
      <c r="C304" s="109">
        <f>ROW(B88)</f>
        <v>88</v>
      </c>
      <c r="D304" s="362"/>
      <c r="E304" s="362"/>
      <c r="F304" s="362"/>
      <c r="G304" s="218"/>
      <c r="H304" s="64"/>
      <c r="I304" s="81"/>
      <c r="J304" s="109"/>
      <c r="K304" s="109"/>
      <c r="L304" s="110"/>
    </row>
    <row r="305" spans="1:14" outlineLevel="1" x14ac:dyDescent="0.35">
      <c r="A305" s="362" t="s">
        <v>2763</v>
      </c>
      <c r="B305" s="81" t="s">
        <v>2659</v>
      </c>
      <c r="C305" s="109" t="s">
        <v>2690</v>
      </c>
      <c r="D305" s="362"/>
      <c r="E305" s="110"/>
      <c r="F305" s="362"/>
      <c r="G305" s="218"/>
      <c r="H305" s="64"/>
      <c r="I305" s="81"/>
      <c r="J305" s="109"/>
      <c r="K305" s="109"/>
      <c r="L305" s="110"/>
      <c r="N305" s="96"/>
    </row>
    <row r="306" spans="1:14" outlineLevel="1" x14ac:dyDescent="0.35">
      <c r="A306" s="362" t="s">
        <v>2764</v>
      </c>
      <c r="B306" s="81" t="s">
        <v>2661</v>
      </c>
      <c r="C306" s="109">
        <v>44</v>
      </c>
      <c r="D306" s="362"/>
      <c r="E306" s="110"/>
      <c r="F306" s="362"/>
      <c r="G306" s="218"/>
      <c r="H306" s="64"/>
      <c r="I306" s="81"/>
      <c r="J306" s="109"/>
      <c r="K306" s="109"/>
      <c r="L306" s="110"/>
      <c r="N306" s="96"/>
    </row>
    <row r="307" spans="1:14" outlineLevel="1" x14ac:dyDescent="0.35">
      <c r="A307" s="362" t="s">
        <v>2765</v>
      </c>
      <c r="B307" s="81" t="s">
        <v>2689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5">
      <c r="A308" s="66" t="s">
        <v>385</v>
      </c>
      <c r="B308" s="81"/>
      <c r="E308" s="110"/>
      <c r="H308" s="64"/>
      <c r="I308" s="81"/>
      <c r="J308" s="109"/>
      <c r="K308" s="109"/>
      <c r="L308" s="110"/>
      <c r="N308" s="96"/>
    </row>
    <row r="309" spans="1:14" outlineLevel="1" x14ac:dyDescent="0.35">
      <c r="A309" s="362" t="s">
        <v>386</v>
      </c>
      <c r="E309" s="110"/>
      <c r="H309" s="64"/>
      <c r="I309" s="81"/>
      <c r="J309" s="109"/>
      <c r="K309" s="109"/>
      <c r="L309" s="110"/>
      <c r="N309" s="96"/>
    </row>
    <row r="310" spans="1:14" outlineLevel="1" x14ac:dyDescent="0.35">
      <c r="A310" s="362" t="s">
        <v>387</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362" t="s">
        <v>5</v>
      </c>
      <c r="B312" s="89" t="s">
        <v>2667</v>
      </c>
      <c r="C312" s="362" t="s">
        <v>82</v>
      </c>
      <c r="H312" s="64"/>
      <c r="I312" s="89"/>
      <c r="J312" s="109"/>
      <c r="N312" s="96"/>
    </row>
    <row r="313" spans="1:14" outlineLevel="1" x14ac:dyDescent="0.35">
      <c r="A313" s="362" t="s">
        <v>2757</v>
      </c>
      <c r="B313" s="89" t="s">
        <v>2668</v>
      </c>
      <c r="C313" s="362" t="s">
        <v>82</v>
      </c>
      <c r="H313" s="64"/>
      <c r="I313" s="89"/>
      <c r="J313" s="109"/>
      <c r="N313" s="96"/>
    </row>
    <row r="314" spans="1:14" outlineLevel="1" x14ac:dyDescent="0.35">
      <c r="A314" s="362" t="s">
        <v>2758</v>
      </c>
      <c r="B314" s="89" t="s">
        <v>2669</v>
      </c>
      <c r="C314" s="362" t="s">
        <v>82</v>
      </c>
      <c r="H314" s="64"/>
      <c r="I314" s="89"/>
      <c r="J314" s="109"/>
      <c r="N314" s="96"/>
    </row>
    <row r="315" spans="1:14" outlineLevel="1" x14ac:dyDescent="0.35">
      <c r="A315" s="66" t="s">
        <v>388</v>
      </c>
      <c r="B315" s="89"/>
      <c r="C315" s="109"/>
      <c r="H315" s="64"/>
      <c r="I315" s="89"/>
      <c r="J315" s="109"/>
      <c r="N315" s="96"/>
    </row>
    <row r="316" spans="1:14" outlineLevel="1" x14ac:dyDescent="0.35">
      <c r="A316" s="362" t="s">
        <v>389</v>
      </c>
      <c r="B316" s="89"/>
      <c r="C316" s="109"/>
      <c r="H316" s="64"/>
      <c r="I316" s="89"/>
      <c r="J316" s="109"/>
      <c r="N316" s="96"/>
    </row>
    <row r="317" spans="1:14" outlineLevel="1" x14ac:dyDescent="0.35">
      <c r="A317" s="362" t="s">
        <v>390</v>
      </c>
      <c r="B317" s="89"/>
      <c r="C317" s="109"/>
      <c r="H317" s="64"/>
      <c r="I317" s="89"/>
      <c r="J317" s="109"/>
      <c r="N317" s="96"/>
    </row>
    <row r="318" spans="1:14" outlineLevel="1" x14ac:dyDescent="0.35">
      <c r="A318" s="362" t="s">
        <v>391</v>
      </c>
      <c r="B318" s="89"/>
      <c r="C318" s="109"/>
      <c r="H318" s="64"/>
      <c r="I318" s="89"/>
      <c r="J318" s="109"/>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392</v>
      </c>
      <c r="C320" s="85"/>
      <c r="D320" s="85"/>
      <c r="E320" s="87"/>
      <c r="F320" s="88"/>
      <c r="G320" s="88"/>
      <c r="H320" s="64"/>
      <c r="L320" s="64"/>
      <c r="M320" s="64"/>
      <c r="N320" s="96"/>
    </row>
    <row r="321" spans="1:14" outlineLevel="1" x14ac:dyDescent="0.35">
      <c r="A321" s="66" t="s">
        <v>393</v>
      </c>
      <c r="B321" s="81" t="s">
        <v>394</v>
      </c>
      <c r="C321" s="81"/>
      <c r="H321" s="64"/>
      <c r="I321" s="96"/>
      <c r="J321" s="96"/>
      <c r="K321" s="96"/>
      <c r="L321" s="96"/>
      <c r="M321" s="96"/>
      <c r="N321" s="96"/>
    </row>
    <row r="322" spans="1:14" outlineLevel="1" x14ac:dyDescent="0.35">
      <c r="A322" s="66" t="s">
        <v>395</v>
      </c>
      <c r="B322" s="81" t="s">
        <v>396</v>
      </c>
      <c r="C322" s="81"/>
      <c r="H322" s="64"/>
      <c r="I322" s="96"/>
      <c r="J322" s="96"/>
      <c r="K322" s="96"/>
      <c r="L322" s="96"/>
      <c r="M322" s="96"/>
      <c r="N322" s="96"/>
    </row>
    <row r="323" spans="1:14" outlineLevel="1" x14ac:dyDescent="0.35">
      <c r="A323" s="66" t="s">
        <v>397</v>
      </c>
      <c r="B323" s="81" t="s">
        <v>398</v>
      </c>
      <c r="C323" s="81"/>
      <c r="H323" s="64"/>
      <c r="I323" s="96"/>
      <c r="J323" s="96"/>
      <c r="K323" s="96"/>
      <c r="L323" s="96"/>
      <c r="M323" s="96"/>
      <c r="N323" s="96"/>
    </row>
    <row r="324" spans="1:14" outlineLevel="1" x14ac:dyDescent="0.35">
      <c r="A324" s="66" t="s">
        <v>399</v>
      </c>
      <c r="B324" s="81" t="s">
        <v>400</v>
      </c>
      <c r="H324" s="64"/>
      <c r="I324" s="96"/>
      <c r="J324" s="96"/>
      <c r="K324" s="96"/>
      <c r="L324" s="96"/>
      <c r="M324" s="96"/>
      <c r="N324" s="96"/>
    </row>
    <row r="325" spans="1:14" outlineLevel="1" x14ac:dyDescent="0.35">
      <c r="A325" s="66" t="s">
        <v>401</v>
      </c>
      <c r="B325" s="81" t="s">
        <v>402</v>
      </c>
      <c r="H325" s="64"/>
      <c r="I325" s="96"/>
      <c r="J325" s="96"/>
      <c r="K325" s="96"/>
      <c r="L325" s="96"/>
      <c r="M325" s="96"/>
      <c r="N325" s="96"/>
    </row>
    <row r="326" spans="1:14" outlineLevel="1" x14ac:dyDescent="0.35">
      <c r="A326" s="66" t="s">
        <v>403</v>
      </c>
      <c r="B326" s="81" t="s">
        <v>404</v>
      </c>
      <c r="H326" s="64"/>
      <c r="I326" s="96"/>
      <c r="J326" s="96"/>
      <c r="K326" s="96"/>
      <c r="L326" s="96"/>
      <c r="M326" s="96"/>
      <c r="N326" s="96"/>
    </row>
    <row r="327" spans="1:14" outlineLevel="1" x14ac:dyDescent="0.35">
      <c r="A327" s="66" t="s">
        <v>405</v>
      </c>
      <c r="B327" s="81" t="s">
        <v>406</v>
      </c>
      <c r="H327" s="64"/>
      <c r="I327" s="96"/>
      <c r="J327" s="96"/>
      <c r="K327" s="96"/>
      <c r="L327" s="96"/>
      <c r="M327" s="96"/>
      <c r="N327" s="96"/>
    </row>
    <row r="328" spans="1:14" outlineLevel="1" x14ac:dyDescent="0.35">
      <c r="A328" s="66" t="s">
        <v>407</v>
      </c>
      <c r="B328" s="81" t="s">
        <v>408</v>
      </c>
      <c r="H328" s="64"/>
      <c r="I328" s="96"/>
      <c r="J328" s="96"/>
      <c r="K328" s="96"/>
      <c r="L328" s="96"/>
      <c r="M328" s="96"/>
      <c r="N328" s="96"/>
    </row>
    <row r="329" spans="1:14" outlineLevel="1" x14ac:dyDescent="0.35">
      <c r="A329" s="66" t="s">
        <v>409</v>
      </c>
      <c r="B329" s="81" t="s">
        <v>410</v>
      </c>
      <c r="H329" s="64"/>
      <c r="I329" s="96"/>
      <c r="J329" s="96"/>
      <c r="K329" s="96"/>
      <c r="L329" s="96"/>
      <c r="M329" s="96"/>
      <c r="N329" s="96"/>
    </row>
    <row r="330" spans="1:14" outlineLevel="1" x14ac:dyDescent="0.35">
      <c r="A330" s="66" t="s">
        <v>411</v>
      </c>
      <c r="B330" s="95" t="s">
        <v>412</v>
      </c>
      <c r="H330" s="64"/>
      <c r="I330" s="96"/>
      <c r="J330" s="96"/>
      <c r="K330" s="96"/>
      <c r="L330" s="96"/>
      <c r="M330" s="96"/>
      <c r="N330" s="96"/>
    </row>
    <row r="331" spans="1:14" outlineLevel="1" x14ac:dyDescent="0.35">
      <c r="A331" s="66" t="s">
        <v>413</v>
      </c>
      <c r="B331" s="95" t="s">
        <v>412</v>
      </c>
      <c r="H331" s="64"/>
      <c r="I331" s="96"/>
      <c r="J331" s="96"/>
      <c r="K331" s="96"/>
      <c r="L331" s="96"/>
      <c r="M331" s="96"/>
      <c r="N331" s="96"/>
    </row>
    <row r="332" spans="1:14" outlineLevel="1" x14ac:dyDescent="0.35">
      <c r="A332" s="66" t="s">
        <v>414</v>
      </c>
      <c r="B332" s="95" t="s">
        <v>412</v>
      </c>
      <c r="H332" s="64"/>
      <c r="I332" s="96"/>
      <c r="J332" s="96"/>
      <c r="K332" s="96"/>
      <c r="L332" s="96"/>
      <c r="M332" s="96"/>
      <c r="N332" s="96"/>
    </row>
    <row r="333" spans="1:14" outlineLevel="1" x14ac:dyDescent="0.35">
      <c r="A333" s="66" t="s">
        <v>415</v>
      </c>
      <c r="B333" s="95" t="s">
        <v>412</v>
      </c>
      <c r="H333" s="64"/>
      <c r="I333" s="96"/>
      <c r="J333" s="96"/>
      <c r="K333" s="96"/>
      <c r="L333" s="96"/>
      <c r="M333" s="96"/>
      <c r="N333" s="96"/>
    </row>
    <row r="334" spans="1:14" outlineLevel="1" x14ac:dyDescent="0.35">
      <c r="A334" s="66" t="s">
        <v>416</v>
      </c>
      <c r="B334" s="95" t="s">
        <v>412</v>
      </c>
      <c r="H334" s="64"/>
      <c r="I334" s="96"/>
      <c r="J334" s="96"/>
      <c r="K334" s="96"/>
      <c r="L334" s="96"/>
      <c r="M334" s="96"/>
      <c r="N334" s="96"/>
    </row>
    <row r="335" spans="1:14" outlineLevel="1" x14ac:dyDescent="0.35">
      <c r="A335" s="66" t="s">
        <v>417</v>
      </c>
      <c r="B335" s="95" t="s">
        <v>412</v>
      </c>
      <c r="H335" s="64"/>
      <c r="I335" s="96"/>
      <c r="J335" s="96"/>
      <c r="K335" s="96"/>
      <c r="L335" s="96"/>
      <c r="M335" s="96"/>
      <c r="N335" s="96"/>
    </row>
    <row r="336" spans="1:14" outlineLevel="1" x14ac:dyDescent="0.35">
      <c r="A336" s="66" t="s">
        <v>418</v>
      </c>
      <c r="B336" s="95" t="s">
        <v>412</v>
      </c>
      <c r="H336" s="64"/>
      <c r="I336" s="96"/>
      <c r="J336" s="96"/>
      <c r="K336" s="96"/>
      <c r="L336" s="96"/>
      <c r="M336" s="96"/>
      <c r="N336" s="96"/>
    </row>
    <row r="337" spans="1:14" outlineLevel="1" x14ac:dyDescent="0.35">
      <c r="A337" s="66" t="s">
        <v>419</v>
      </c>
      <c r="B337" s="95" t="s">
        <v>412</v>
      </c>
      <c r="H337" s="64"/>
      <c r="I337" s="96"/>
      <c r="J337" s="96"/>
      <c r="K337" s="96"/>
      <c r="L337" s="96"/>
      <c r="M337" s="96"/>
      <c r="N337" s="96"/>
    </row>
    <row r="338" spans="1:14" outlineLevel="1" x14ac:dyDescent="0.35">
      <c r="A338" s="66" t="s">
        <v>420</v>
      </c>
      <c r="B338" s="95" t="s">
        <v>412</v>
      </c>
      <c r="H338" s="64"/>
      <c r="I338" s="96"/>
      <c r="J338" s="96"/>
      <c r="K338" s="96"/>
      <c r="L338" s="96"/>
      <c r="M338" s="96"/>
      <c r="N338" s="96"/>
    </row>
    <row r="339" spans="1:14" outlineLevel="1" x14ac:dyDescent="0.35">
      <c r="A339" s="66" t="s">
        <v>421</v>
      </c>
      <c r="B339" s="95" t="s">
        <v>412</v>
      </c>
      <c r="H339" s="64"/>
      <c r="I339" s="96"/>
      <c r="J339" s="96"/>
      <c r="K339" s="96"/>
      <c r="L339" s="96"/>
      <c r="M339" s="96"/>
      <c r="N339" s="96"/>
    </row>
    <row r="340" spans="1:14" outlineLevel="1" x14ac:dyDescent="0.35">
      <c r="A340" s="66" t="s">
        <v>422</v>
      </c>
      <c r="B340" s="95" t="s">
        <v>412</v>
      </c>
      <c r="H340" s="64"/>
      <c r="I340" s="96"/>
      <c r="J340" s="96"/>
      <c r="K340" s="96"/>
      <c r="L340" s="96"/>
      <c r="M340" s="96"/>
      <c r="N340" s="96"/>
    </row>
    <row r="341" spans="1:14" outlineLevel="1" x14ac:dyDescent="0.35">
      <c r="A341" s="66" t="s">
        <v>423</v>
      </c>
      <c r="B341" s="95" t="s">
        <v>412</v>
      </c>
      <c r="H341" s="64"/>
      <c r="I341" s="96"/>
      <c r="J341" s="96"/>
      <c r="K341" s="96"/>
      <c r="L341" s="96"/>
      <c r="M341" s="96"/>
      <c r="N341" s="96"/>
    </row>
    <row r="342" spans="1:14" outlineLevel="1" x14ac:dyDescent="0.35">
      <c r="A342" s="66" t="s">
        <v>424</v>
      </c>
      <c r="B342" s="95" t="s">
        <v>412</v>
      </c>
      <c r="H342" s="64"/>
      <c r="I342" s="96"/>
      <c r="J342" s="96"/>
      <c r="K342" s="96"/>
      <c r="L342" s="96"/>
      <c r="M342" s="96"/>
      <c r="N342" s="96"/>
    </row>
    <row r="343" spans="1:14" outlineLevel="1" x14ac:dyDescent="0.35">
      <c r="A343" s="66" t="s">
        <v>425</v>
      </c>
      <c r="B343" s="95" t="s">
        <v>412</v>
      </c>
      <c r="H343" s="64"/>
      <c r="I343" s="96"/>
      <c r="J343" s="96"/>
      <c r="K343" s="96"/>
      <c r="L343" s="96"/>
      <c r="M343" s="96"/>
      <c r="N343" s="96"/>
    </row>
    <row r="344" spans="1:14" outlineLevel="1" x14ac:dyDescent="0.35">
      <c r="A344" s="66" t="s">
        <v>426</v>
      </c>
      <c r="B344" s="95" t="s">
        <v>412</v>
      </c>
      <c r="H344" s="64"/>
      <c r="I344" s="96"/>
      <c r="J344" s="96"/>
      <c r="K344" s="96"/>
      <c r="L344" s="96"/>
      <c r="M344" s="96"/>
      <c r="N344" s="96"/>
    </row>
    <row r="345" spans="1:14" outlineLevel="1" x14ac:dyDescent="0.35">
      <c r="A345" s="66" t="s">
        <v>427</v>
      </c>
      <c r="B345" s="95" t="s">
        <v>412</v>
      </c>
      <c r="H345" s="64"/>
      <c r="I345" s="96"/>
      <c r="J345" s="96"/>
      <c r="K345" s="96"/>
      <c r="L345" s="96"/>
      <c r="M345" s="96"/>
      <c r="N345" s="96"/>
    </row>
    <row r="346" spans="1:14" outlineLevel="1" x14ac:dyDescent="0.35">
      <c r="A346" s="66" t="s">
        <v>428</v>
      </c>
      <c r="B346" s="95" t="s">
        <v>412</v>
      </c>
      <c r="H346" s="64"/>
      <c r="I346" s="96"/>
      <c r="J346" s="96"/>
      <c r="K346" s="96"/>
      <c r="L346" s="96"/>
      <c r="M346" s="96"/>
      <c r="N346" s="96"/>
    </row>
    <row r="347" spans="1:14" outlineLevel="1" x14ac:dyDescent="0.35">
      <c r="A347" s="66" t="s">
        <v>429</v>
      </c>
      <c r="B347" s="95" t="s">
        <v>412</v>
      </c>
      <c r="H347" s="64"/>
      <c r="I347" s="96"/>
      <c r="J347" s="96"/>
      <c r="K347" s="96"/>
      <c r="L347" s="96"/>
      <c r="M347" s="96"/>
      <c r="N347" s="96"/>
    </row>
    <row r="348" spans="1:14" outlineLevel="1" x14ac:dyDescent="0.35">
      <c r="A348" s="66" t="s">
        <v>430</v>
      </c>
      <c r="B348" s="95" t="s">
        <v>412</v>
      </c>
      <c r="H348" s="64"/>
      <c r="I348" s="96"/>
      <c r="J348" s="96"/>
      <c r="K348" s="96"/>
      <c r="L348" s="96"/>
      <c r="M348" s="96"/>
      <c r="N348" s="96"/>
    </row>
    <row r="349" spans="1:14" outlineLevel="1" x14ac:dyDescent="0.35">
      <c r="A349" s="66" t="s">
        <v>431</v>
      </c>
      <c r="B349" s="95" t="s">
        <v>412</v>
      </c>
      <c r="H349" s="64"/>
      <c r="I349" s="96"/>
      <c r="J349" s="96"/>
      <c r="K349" s="96"/>
      <c r="L349" s="96"/>
      <c r="M349" s="96"/>
      <c r="N349" s="96"/>
    </row>
    <row r="350" spans="1:14" outlineLevel="1" x14ac:dyDescent="0.35">
      <c r="A350" s="66" t="s">
        <v>432</v>
      </c>
      <c r="B350" s="95" t="s">
        <v>412</v>
      </c>
      <c r="H350" s="64"/>
      <c r="I350" s="96"/>
      <c r="J350" s="96"/>
      <c r="K350" s="96"/>
      <c r="L350" s="96"/>
      <c r="M350" s="96"/>
      <c r="N350" s="96"/>
    </row>
    <row r="351" spans="1:14" outlineLevel="1" x14ac:dyDescent="0.35">
      <c r="A351" s="66" t="s">
        <v>433</v>
      </c>
      <c r="B351" s="95" t="s">
        <v>412</v>
      </c>
      <c r="H351" s="64"/>
      <c r="I351" s="96"/>
      <c r="J351" s="96"/>
      <c r="K351" s="96"/>
      <c r="L351" s="96"/>
      <c r="M351" s="96"/>
      <c r="N351" s="96"/>
    </row>
    <row r="352" spans="1:14" outlineLevel="1" x14ac:dyDescent="0.35">
      <c r="A352" s="66" t="s">
        <v>434</v>
      </c>
      <c r="B352" s="95" t="s">
        <v>412</v>
      </c>
      <c r="H352" s="64"/>
      <c r="I352" s="96"/>
      <c r="J352" s="96"/>
      <c r="K352" s="96"/>
      <c r="L352" s="96"/>
      <c r="M352" s="96"/>
      <c r="N352" s="96"/>
    </row>
    <row r="353" spans="1:14" outlineLevel="1" x14ac:dyDescent="0.35">
      <c r="A353" s="66" t="s">
        <v>435</v>
      </c>
      <c r="B353" s="95" t="s">
        <v>412</v>
      </c>
      <c r="H353" s="64"/>
      <c r="I353" s="96"/>
      <c r="J353" s="96"/>
      <c r="K353" s="96"/>
      <c r="L353" s="96"/>
      <c r="M353" s="96"/>
      <c r="N353" s="96"/>
    </row>
    <row r="354" spans="1:14" outlineLevel="1" x14ac:dyDescent="0.35">
      <c r="A354" s="66" t="s">
        <v>436</v>
      </c>
      <c r="B354" s="95" t="s">
        <v>412</v>
      </c>
      <c r="H354" s="64"/>
      <c r="I354" s="96"/>
      <c r="J354" s="96"/>
      <c r="K354" s="96"/>
      <c r="L354" s="96"/>
      <c r="M354" s="96"/>
      <c r="N354" s="96"/>
    </row>
    <row r="355" spans="1:14" outlineLevel="1" x14ac:dyDescent="0.35">
      <c r="A355" s="66" t="s">
        <v>437</v>
      </c>
      <c r="B355" s="95" t="s">
        <v>412</v>
      </c>
      <c r="H355" s="64"/>
      <c r="I355" s="96"/>
      <c r="J355" s="96"/>
      <c r="K355" s="96"/>
      <c r="L355" s="96"/>
      <c r="M355" s="96"/>
      <c r="N355" s="96"/>
    </row>
    <row r="356" spans="1:14" outlineLevel="1" x14ac:dyDescent="0.35">
      <c r="A356" s="66" t="s">
        <v>438</v>
      </c>
      <c r="B356" s="95" t="s">
        <v>412</v>
      </c>
      <c r="H356" s="64"/>
      <c r="I356" s="96"/>
      <c r="J356" s="96"/>
      <c r="K356" s="96"/>
      <c r="L356" s="96"/>
      <c r="M356" s="96"/>
      <c r="N356" s="96"/>
    </row>
    <row r="357" spans="1:14" outlineLevel="1" x14ac:dyDescent="0.35">
      <c r="A357" s="66" t="s">
        <v>439</v>
      </c>
      <c r="B357" s="95" t="s">
        <v>412</v>
      </c>
      <c r="H357" s="64"/>
      <c r="I357" s="96"/>
      <c r="J357" s="96"/>
      <c r="K357" s="96"/>
      <c r="L357" s="96"/>
      <c r="M357" s="96"/>
      <c r="N357" s="96"/>
    </row>
    <row r="358" spans="1:14" outlineLevel="1" x14ac:dyDescent="0.35">
      <c r="A358" s="66" t="s">
        <v>440</v>
      </c>
      <c r="B358" s="95" t="s">
        <v>412</v>
      </c>
      <c r="H358" s="64"/>
      <c r="I358" s="96"/>
      <c r="J358" s="96"/>
      <c r="K358" s="96"/>
      <c r="L358" s="96"/>
      <c r="M358" s="96"/>
      <c r="N358" s="96"/>
    </row>
    <row r="359" spans="1:14" outlineLevel="1" x14ac:dyDescent="0.35">
      <c r="A359" s="66" t="s">
        <v>441</v>
      </c>
      <c r="B359" s="95" t="s">
        <v>412</v>
      </c>
      <c r="H359" s="64"/>
      <c r="I359" s="96"/>
      <c r="J359" s="96"/>
      <c r="K359" s="96"/>
      <c r="L359" s="96"/>
      <c r="M359" s="96"/>
      <c r="N359" s="96"/>
    </row>
    <row r="360" spans="1:14" outlineLevel="1" x14ac:dyDescent="0.35">
      <c r="A360" s="66" t="s">
        <v>442</v>
      </c>
      <c r="B360" s="95" t="s">
        <v>412</v>
      </c>
      <c r="H360" s="64"/>
      <c r="I360" s="96"/>
      <c r="J360" s="96"/>
      <c r="K360" s="96"/>
      <c r="L360" s="96"/>
      <c r="M360" s="96"/>
      <c r="N360" s="96"/>
    </row>
    <row r="361" spans="1:14" outlineLevel="1" x14ac:dyDescent="0.35">
      <c r="A361" s="66" t="s">
        <v>443</v>
      </c>
      <c r="B361" s="95" t="s">
        <v>412</v>
      </c>
      <c r="H361" s="64"/>
      <c r="I361" s="96"/>
      <c r="J361" s="96"/>
      <c r="K361" s="96"/>
      <c r="L361" s="96"/>
      <c r="M361" s="96"/>
      <c r="N361" s="96"/>
    </row>
    <row r="362" spans="1:14" outlineLevel="1" x14ac:dyDescent="0.35">
      <c r="A362" s="66" t="s">
        <v>444</v>
      </c>
      <c r="B362" s="95" t="s">
        <v>412</v>
      </c>
      <c r="H362" s="64"/>
      <c r="I362" s="96"/>
      <c r="J362" s="96"/>
      <c r="K362" s="96"/>
      <c r="L362" s="96"/>
      <c r="M362" s="96"/>
      <c r="N362" s="96"/>
    </row>
    <row r="363" spans="1:14" outlineLevel="1" x14ac:dyDescent="0.35">
      <c r="A363" s="66" t="s">
        <v>445</v>
      </c>
      <c r="B363" s="95" t="s">
        <v>412</v>
      </c>
      <c r="H363" s="64"/>
      <c r="I363" s="96"/>
      <c r="J363" s="96"/>
      <c r="K363" s="96"/>
      <c r="L363" s="96"/>
      <c r="M363" s="96"/>
      <c r="N363" s="96"/>
    </row>
    <row r="364" spans="1:14" outlineLevel="1" x14ac:dyDescent="0.35">
      <c r="A364" s="66" t="s">
        <v>446</v>
      </c>
      <c r="B364" s="95" t="s">
        <v>412</v>
      </c>
      <c r="H364" s="64"/>
      <c r="I364" s="96"/>
      <c r="J364" s="96"/>
      <c r="K364" s="96"/>
      <c r="L364" s="96"/>
      <c r="M364" s="96"/>
      <c r="N364" s="96"/>
    </row>
    <row r="365" spans="1:14" outlineLevel="1" x14ac:dyDescent="0.35">
      <c r="A365" s="66" t="s">
        <v>447</v>
      </c>
      <c r="B365" s="95" t="s">
        <v>412</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&amp;C&amp;1#&amp;"Calibri"&amp;10&amp;K000000INTERNE</oddFoot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7" sqref="C7"/>
    </sheetView>
  </sheetViews>
  <sheetFormatPr defaultColWidth="8.81640625" defaultRowHeight="14.5" outlineLevelRow="1" x14ac:dyDescent="0.35"/>
  <cols>
    <col min="1" max="1" width="13.81640625" style="145" customWidth="1"/>
    <col min="2" max="2" width="60.81640625" style="145" customWidth="1"/>
    <col min="3" max="3" width="41" style="145" customWidth="1"/>
    <col min="4" max="4" width="40.81640625" style="145" customWidth="1"/>
    <col min="5" max="5" width="6.7265625" style="145" customWidth="1"/>
    <col min="6" max="6" width="41.54296875" style="145" customWidth="1"/>
    <col min="7" max="7" width="41.54296875" style="141" customWidth="1"/>
    <col min="8" max="16384" width="8.81640625" style="142"/>
  </cols>
  <sheetData>
    <row r="1" spans="1:7" ht="31" x14ac:dyDescent="0.35">
      <c r="A1" s="185" t="s">
        <v>448</v>
      </c>
      <c r="B1" s="185"/>
      <c r="C1" s="141"/>
      <c r="D1" s="141"/>
      <c r="E1" s="141"/>
      <c r="F1" s="376" t="s">
        <v>2773</v>
      </c>
    </row>
    <row r="2" spans="1:7" ht="15" thickBot="1" x14ac:dyDescent="0.4">
      <c r="A2" s="141"/>
      <c r="B2" s="141"/>
      <c r="C2" s="141"/>
      <c r="D2" s="141"/>
      <c r="E2" s="141"/>
      <c r="F2" s="141"/>
    </row>
    <row r="3" spans="1:7" ht="19" thickBot="1" x14ac:dyDescent="0.4">
      <c r="A3" s="143"/>
      <c r="B3" s="144" t="s">
        <v>71</v>
      </c>
      <c r="C3" s="358" t="s">
        <v>72</v>
      </c>
      <c r="D3" s="143"/>
      <c r="E3" s="143"/>
      <c r="F3" s="141"/>
      <c r="G3" s="143"/>
    </row>
    <row r="4" spans="1:7" ht="15" thickBot="1" x14ac:dyDescent="0.4"/>
    <row r="5" spans="1:7" ht="18.5" x14ac:dyDescent="0.35">
      <c r="A5" s="146"/>
      <c r="B5" s="147" t="s">
        <v>449</v>
      </c>
      <c r="C5" s="146"/>
      <c r="E5" s="148"/>
      <c r="F5" s="148"/>
    </row>
    <row r="6" spans="1:7" x14ac:dyDescent="0.35">
      <c r="B6" s="149" t="s">
        <v>450</v>
      </c>
    </row>
    <row r="7" spans="1:7" x14ac:dyDescent="0.35">
      <c r="B7" s="150" t="s">
        <v>451</v>
      </c>
    </row>
    <row r="8" spans="1:7" ht="15" thickBot="1" x14ac:dyDescent="0.4">
      <c r="B8" s="151" t="s">
        <v>452</v>
      </c>
    </row>
    <row r="9" spans="1:7" x14ac:dyDescent="0.35">
      <c r="B9" s="152"/>
    </row>
    <row r="10" spans="1:7" ht="37" x14ac:dyDescent="0.35">
      <c r="A10" s="153" t="s">
        <v>80</v>
      </c>
      <c r="B10" s="153" t="s">
        <v>450</v>
      </c>
      <c r="C10" s="154"/>
      <c r="D10" s="154"/>
      <c r="E10" s="154"/>
      <c r="F10" s="154"/>
      <c r="G10" s="155"/>
    </row>
    <row r="11" spans="1:7" ht="15" customHeight="1" x14ac:dyDescent="0.35">
      <c r="A11" s="156"/>
      <c r="B11" s="157" t="s">
        <v>453</v>
      </c>
      <c r="C11" s="156" t="s">
        <v>112</v>
      </c>
      <c r="D11" s="156"/>
      <c r="E11" s="156"/>
      <c r="F11" s="158" t="s">
        <v>454</v>
      </c>
      <c r="G11" s="158"/>
    </row>
    <row r="12" spans="1:7" x14ac:dyDescent="0.35">
      <c r="A12" s="145" t="s">
        <v>455</v>
      </c>
      <c r="B12" s="145" t="s">
        <v>456</v>
      </c>
      <c r="C12" s="424">
        <f>CRD_PRETS_SELECTION/1000000</f>
        <v>5832.1503095400003</v>
      </c>
      <c r="F12" s="207">
        <f>IF($C$15=0,"",IF(C12="[for completion]","",C12/$C$15))</f>
        <v>1</v>
      </c>
    </row>
    <row r="13" spans="1:7" x14ac:dyDescent="0.35">
      <c r="A13" s="145" t="s">
        <v>457</v>
      </c>
      <c r="B13" s="145" t="s">
        <v>458</v>
      </c>
      <c r="C13" s="424">
        <v>0</v>
      </c>
      <c r="F13" s="207">
        <f>IF($C$15=0,"",IF(C13="[for completion]","",C13/$C$15))</f>
        <v>0</v>
      </c>
    </row>
    <row r="14" spans="1:7" x14ac:dyDescent="0.35">
      <c r="A14" s="145" t="s">
        <v>459</v>
      </c>
      <c r="B14" s="145" t="s">
        <v>143</v>
      </c>
      <c r="C14" s="424">
        <v>0</v>
      </c>
      <c r="F14" s="207">
        <f>IF($C$15=0,"",IF(C14="[for completion]","",C14/$C$15))</f>
        <v>0</v>
      </c>
    </row>
    <row r="15" spans="1:7" x14ac:dyDescent="0.35">
      <c r="A15" s="145" t="s">
        <v>460</v>
      </c>
      <c r="B15" s="160" t="s">
        <v>145</v>
      </c>
      <c r="C15" s="208">
        <f>SUM(C12:C14)</f>
        <v>5832.1503095400003</v>
      </c>
      <c r="F15" s="179">
        <f>SUM(F12:F14)</f>
        <v>1</v>
      </c>
    </row>
    <row r="16" spans="1:7" outlineLevel="1" x14ac:dyDescent="0.35">
      <c r="A16" s="145" t="s">
        <v>461</v>
      </c>
      <c r="B16" s="162" t="s">
        <v>462</v>
      </c>
      <c r="C16" s="208"/>
      <c r="F16" s="207">
        <f t="shared" ref="F16:F26" si="0">IF($C$15=0,"",IF(C16="[for completion]","",C16/$C$15))</f>
        <v>0</v>
      </c>
    </row>
    <row r="17" spans="1:7" outlineLevel="1" x14ac:dyDescent="0.35">
      <c r="A17" s="145" t="s">
        <v>463</v>
      </c>
      <c r="B17" s="162" t="s">
        <v>1391</v>
      </c>
      <c r="C17" s="208"/>
      <c r="F17" s="207">
        <f t="shared" si="0"/>
        <v>0</v>
      </c>
    </row>
    <row r="18" spans="1:7" outlineLevel="1" x14ac:dyDescent="0.35">
      <c r="A18" s="145" t="s">
        <v>464</v>
      </c>
      <c r="B18" s="162" t="s">
        <v>147</v>
      </c>
      <c r="C18" s="208"/>
      <c r="F18" s="207">
        <f t="shared" si="0"/>
        <v>0</v>
      </c>
    </row>
    <row r="19" spans="1:7" outlineLevel="1" x14ac:dyDescent="0.35">
      <c r="A19" s="145" t="s">
        <v>465</v>
      </c>
      <c r="B19" s="162" t="s">
        <v>147</v>
      </c>
      <c r="C19" s="208"/>
      <c r="F19" s="207">
        <f t="shared" si="0"/>
        <v>0</v>
      </c>
    </row>
    <row r="20" spans="1:7" outlineLevel="1" x14ac:dyDescent="0.35">
      <c r="A20" s="145" t="s">
        <v>466</v>
      </c>
      <c r="B20" s="162" t="s">
        <v>147</v>
      </c>
      <c r="C20" s="208"/>
      <c r="F20" s="207">
        <f t="shared" si="0"/>
        <v>0</v>
      </c>
    </row>
    <row r="21" spans="1:7" outlineLevel="1" x14ac:dyDescent="0.35">
      <c r="A21" s="145" t="s">
        <v>467</v>
      </c>
      <c r="B21" s="162" t="s">
        <v>147</v>
      </c>
      <c r="C21" s="208"/>
      <c r="F21" s="207">
        <f t="shared" si="0"/>
        <v>0</v>
      </c>
    </row>
    <row r="22" spans="1:7" outlineLevel="1" x14ac:dyDescent="0.35">
      <c r="A22" s="145" t="s">
        <v>468</v>
      </c>
      <c r="B22" s="162" t="s">
        <v>147</v>
      </c>
      <c r="C22" s="208"/>
      <c r="F22" s="207">
        <f t="shared" si="0"/>
        <v>0</v>
      </c>
    </row>
    <row r="23" spans="1:7" outlineLevel="1" x14ac:dyDescent="0.35">
      <c r="A23" s="145" t="s">
        <v>469</v>
      </c>
      <c r="B23" s="162" t="s">
        <v>147</v>
      </c>
      <c r="C23" s="208"/>
      <c r="F23" s="207">
        <f t="shared" si="0"/>
        <v>0</v>
      </c>
    </row>
    <row r="24" spans="1:7" outlineLevel="1" x14ac:dyDescent="0.35">
      <c r="A24" s="145" t="s">
        <v>470</v>
      </c>
      <c r="B24" s="162" t="s">
        <v>147</v>
      </c>
      <c r="C24" s="208"/>
      <c r="F24" s="207">
        <f t="shared" si="0"/>
        <v>0</v>
      </c>
    </row>
    <row r="25" spans="1:7" outlineLevel="1" x14ac:dyDescent="0.35">
      <c r="A25" s="145" t="s">
        <v>471</v>
      </c>
      <c r="B25" s="162" t="s">
        <v>147</v>
      </c>
      <c r="C25" s="208"/>
      <c r="F25" s="207">
        <f t="shared" si="0"/>
        <v>0</v>
      </c>
    </row>
    <row r="26" spans="1:7" outlineLevel="1" x14ac:dyDescent="0.35">
      <c r="A26" s="145" t="s">
        <v>472</v>
      </c>
      <c r="B26" s="162" t="s">
        <v>147</v>
      </c>
      <c r="C26" s="209"/>
      <c r="D26" s="142"/>
      <c r="E26" s="142"/>
      <c r="F26" s="207">
        <f t="shared" si="0"/>
        <v>0</v>
      </c>
    </row>
    <row r="27" spans="1:7" ht="15" customHeight="1" x14ac:dyDescent="0.35">
      <c r="A27" s="156"/>
      <c r="B27" s="157" t="s">
        <v>473</v>
      </c>
      <c r="C27" s="156" t="s">
        <v>474</v>
      </c>
      <c r="D27" s="156" t="s">
        <v>475</v>
      </c>
      <c r="E27" s="163"/>
      <c r="F27" s="156" t="s">
        <v>476</v>
      </c>
      <c r="G27" s="158"/>
    </row>
    <row r="28" spans="1:7" x14ac:dyDescent="0.35">
      <c r="A28" s="145" t="s">
        <v>477</v>
      </c>
      <c r="B28" s="145" t="s">
        <v>478</v>
      </c>
      <c r="C28" s="426">
        <f>NBE_PRETS_SELECTION</f>
        <v>43053</v>
      </c>
      <c r="D28" s="145">
        <v>0</v>
      </c>
      <c r="F28" s="145">
        <f>IF(AND(C28="[For completion]",D28="[For completion]"),"[For completion]",SUM(C28:D28))</f>
        <v>43053</v>
      </c>
    </row>
    <row r="29" spans="1:7" outlineLevel="1" x14ac:dyDescent="0.35">
      <c r="A29" s="145" t="s">
        <v>479</v>
      </c>
      <c r="B29" s="164" t="s">
        <v>480</v>
      </c>
    </row>
    <row r="30" spans="1:7" outlineLevel="1" x14ac:dyDescent="0.35">
      <c r="A30" s="145" t="s">
        <v>481</v>
      </c>
      <c r="B30" s="164" t="s">
        <v>482</v>
      </c>
    </row>
    <row r="31" spans="1:7" outlineLevel="1" x14ac:dyDescent="0.35">
      <c r="A31" s="145" t="s">
        <v>483</v>
      </c>
      <c r="B31" s="164"/>
    </row>
    <row r="32" spans="1:7" outlineLevel="1" x14ac:dyDescent="0.35">
      <c r="A32" s="145" t="s">
        <v>484</v>
      </c>
      <c r="B32" s="164"/>
    </row>
    <row r="33" spans="1:7" outlineLevel="1" x14ac:dyDescent="0.35">
      <c r="A33" s="145" t="s">
        <v>1586</v>
      </c>
      <c r="B33" s="164"/>
    </row>
    <row r="34" spans="1:7" outlineLevel="1" x14ac:dyDescent="0.35">
      <c r="A34" s="145" t="s">
        <v>1587</v>
      </c>
      <c r="B34" s="164"/>
    </row>
    <row r="35" spans="1:7" ht="15" customHeight="1" x14ac:dyDescent="0.35">
      <c r="A35" s="156"/>
      <c r="B35" s="157" t="s">
        <v>485</v>
      </c>
      <c r="C35" s="156" t="s">
        <v>486</v>
      </c>
      <c r="D35" s="156" t="s">
        <v>487</v>
      </c>
      <c r="E35" s="163"/>
      <c r="F35" s="158" t="s">
        <v>454</v>
      </c>
      <c r="G35" s="158"/>
    </row>
    <row r="36" spans="1:7" x14ac:dyDescent="0.35">
      <c r="A36" s="145" t="s">
        <v>488</v>
      </c>
      <c r="B36" s="145" t="s">
        <v>489</v>
      </c>
      <c r="C36" s="364">
        <f>CRD_PRETS__10_LARGEST_EXPOSURES/CRD_PRETS_SELECTION</f>
        <v>1.5958832979279141E-3</v>
      </c>
      <c r="D36" s="364">
        <v>0</v>
      </c>
      <c r="E36" s="210"/>
      <c r="F36" s="179" t="s">
        <v>82</v>
      </c>
    </row>
    <row r="37" spans="1:7" outlineLevel="1" x14ac:dyDescent="0.35">
      <c r="A37" s="145" t="s">
        <v>490</v>
      </c>
      <c r="C37" s="179"/>
      <c r="D37" s="179"/>
      <c r="E37" s="210"/>
      <c r="F37" s="179"/>
    </row>
    <row r="38" spans="1:7" outlineLevel="1" x14ac:dyDescent="0.35">
      <c r="A38" s="145" t="s">
        <v>491</v>
      </c>
      <c r="C38" s="179"/>
      <c r="D38" s="179"/>
      <c r="E38" s="210"/>
      <c r="F38" s="179"/>
    </row>
    <row r="39" spans="1:7" outlineLevel="1" x14ac:dyDescent="0.35">
      <c r="A39" s="145" t="s">
        <v>492</v>
      </c>
      <c r="C39" s="179"/>
      <c r="D39" s="179"/>
      <c r="E39" s="210"/>
      <c r="F39" s="179"/>
    </row>
    <row r="40" spans="1:7" outlineLevel="1" x14ac:dyDescent="0.35">
      <c r="A40" s="145" t="s">
        <v>493</v>
      </c>
      <c r="C40" s="179"/>
      <c r="D40" s="179"/>
      <c r="E40" s="210"/>
      <c r="F40" s="179"/>
    </row>
    <row r="41" spans="1:7" outlineLevel="1" x14ac:dyDescent="0.35">
      <c r="A41" s="145" t="s">
        <v>494</v>
      </c>
      <c r="C41" s="179"/>
      <c r="D41" s="179"/>
      <c r="E41" s="210"/>
      <c r="F41" s="179"/>
    </row>
    <row r="42" spans="1:7" outlineLevel="1" x14ac:dyDescent="0.35">
      <c r="A42" s="145" t="s">
        <v>495</v>
      </c>
      <c r="C42" s="179"/>
      <c r="D42" s="179"/>
      <c r="E42" s="210"/>
      <c r="F42" s="179"/>
    </row>
    <row r="43" spans="1:7" ht="15" customHeight="1" x14ac:dyDescent="0.35">
      <c r="A43" s="156"/>
      <c r="B43" s="157" t="s">
        <v>496</v>
      </c>
      <c r="C43" s="156" t="s">
        <v>486</v>
      </c>
      <c r="D43" s="156" t="s">
        <v>487</v>
      </c>
      <c r="E43" s="163"/>
      <c r="F43" s="158" t="s">
        <v>454</v>
      </c>
      <c r="G43" s="158"/>
    </row>
    <row r="44" spans="1:7" x14ac:dyDescent="0.35">
      <c r="A44" s="145" t="s">
        <v>497</v>
      </c>
      <c r="B44" s="165" t="s">
        <v>498</v>
      </c>
      <c r="C44" s="178">
        <f>SUM(C45:C71)</f>
        <v>1</v>
      </c>
      <c r="D44" s="178">
        <f>SUM(D45:D71)</f>
        <v>0</v>
      </c>
      <c r="E44" s="179"/>
      <c r="F44" s="178">
        <f>SUM(F45:F71)</f>
        <v>0</v>
      </c>
      <c r="G44" s="145"/>
    </row>
    <row r="45" spans="1:7" x14ac:dyDescent="0.35">
      <c r="A45" s="145" t="s">
        <v>499</v>
      </c>
      <c r="B45" s="145" t="s">
        <v>500</v>
      </c>
      <c r="C45" s="179"/>
      <c r="D45" s="179"/>
      <c r="E45" s="179"/>
      <c r="F45" s="179"/>
      <c r="G45" s="145"/>
    </row>
    <row r="46" spans="1:7" x14ac:dyDescent="0.35">
      <c r="A46" s="145" t="s">
        <v>501</v>
      </c>
      <c r="B46" s="145" t="s">
        <v>502</v>
      </c>
      <c r="C46" s="179"/>
      <c r="D46" s="179"/>
      <c r="E46" s="179"/>
      <c r="F46" s="179"/>
      <c r="G46" s="145"/>
    </row>
    <row r="47" spans="1:7" x14ac:dyDescent="0.35">
      <c r="A47" s="145" t="s">
        <v>503</v>
      </c>
      <c r="B47" s="145" t="s">
        <v>504</v>
      </c>
      <c r="C47" s="179"/>
      <c r="D47" s="179"/>
      <c r="E47" s="179"/>
      <c r="F47" s="179"/>
      <c r="G47" s="145"/>
    </row>
    <row r="48" spans="1:7" x14ac:dyDescent="0.35">
      <c r="A48" s="145" t="s">
        <v>505</v>
      </c>
      <c r="B48" s="145" t="s">
        <v>506</v>
      </c>
      <c r="C48" s="179"/>
      <c r="D48" s="179"/>
      <c r="E48" s="179"/>
      <c r="F48" s="179"/>
      <c r="G48" s="145"/>
    </row>
    <row r="49" spans="1:7" x14ac:dyDescent="0.35">
      <c r="A49" s="145" t="s">
        <v>507</v>
      </c>
      <c r="B49" s="145" t="s">
        <v>508</v>
      </c>
      <c r="C49" s="179"/>
      <c r="D49" s="179"/>
      <c r="E49" s="179"/>
      <c r="F49" s="179"/>
      <c r="G49" s="145"/>
    </row>
    <row r="50" spans="1:7" x14ac:dyDescent="0.35">
      <c r="A50" s="145" t="s">
        <v>509</v>
      </c>
      <c r="B50" s="145" t="s">
        <v>2297</v>
      </c>
      <c r="C50" s="179"/>
      <c r="D50" s="179"/>
      <c r="E50" s="179"/>
      <c r="F50" s="179"/>
      <c r="G50" s="145"/>
    </row>
    <row r="51" spans="1:7" x14ac:dyDescent="0.35">
      <c r="A51" s="145" t="s">
        <v>510</v>
      </c>
      <c r="B51" s="145" t="s">
        <v>511</v>
      </c>
      <c r="C51" s="179"/>
      <c r="D51" s="179"/>
      <c r="E51" s="179"/>
      <c r="F51" s="179"/>
      <c r="G51" s="145"/>
    </row>
    <row r="52" spans="1:7" x14ac:dyDescent="0.35">
      <c r="A52" s="145" t="s">
        <v>512</v>
      </c>
      <c r="B52" s="145" t="s">
        <v>513</v>
      </c>
      <c r="C52" s="179"/>
      <c r="D52" s="179"/>
      <c r="E52" s="179"/>
      <c r="F52" s="179"/>
      <c r="G52" s="145"/>
    </row>
    <row r="53" spans="1:7" x14ac:dyDescent="0.35">
      <c r="A53" s="145" t="s">
        <v>514</v>
      </c>
      <c r="B53" s="145" t="s">
        <v>515</v>
      </c>
      <c r="C53" s="179"/>
      <c r="D53" s="179"/>
      <c r="E53" s="179"/>
      <c r="F53" s="179"/>
      <c r="G53" s="145"/>
    </row>
    <row r="54" spans="1:7" x14ac:dyDescent="0.35">
      <c r="A54" s="145" t="s">
        <v>516</v>
      </c>
      <c r="B54" s="145" t="s">
        <v>517</v>
      </c>
      <c r="C54" s="364">
        <v>1</v>
      </c>
      <c r="D54" s="364">
        <v>0</v>
      </c>
      <c r="E54" s="179"/>
      <c r="F54" s="179"/>
      <c r="G54" s="145"/>
    </row>
    <row r="55" spans="1:7" x14ac:dyDescent="0.35">
      <c r="A55" s="145" t="s">
        <v>518</v>
      </c>
      <c r="B55" s="145" t="s">
        <v>519</v>
      </c>
      <c r="C55" s="179"/>
      <c r="D55" s="179"/>
      <c r="E55" s="179"/>
      <c r="F55" s="179"/>
      <c r="G55" s="145"/>
    </row>
    <row r="56" spans="1:7" x14ac:dyDescent="0.35">
      <c r="A56" s="145" t="s">
        <v>520</v>
      </c>
      <c r="B56" s="145" t="s">
        <v>521</v>
      </c>
      <c r="C56" s="179"/>
      <c r="D56" s="179"/>
      <c r="E56" s="179"/>
      <c r="F56" s="179"/>
      <c r="G56" s="145"/>
    </row>
    <row r="57" spans="1:7" x14ac:dyDescent="0.35">
      <c r="A57" s="145" t="s">
        <v>522</v>
      </c>
      <c r="B57" s="145" t="s">
        <v>523</v>
      </c>
      <c r="C57" s="179"/>
      <c r="D57" s="179"/>
      <c r="E57" s="179"/>
      <c r="F57" s="179"/>
      <c r="G57" s="145"/>
    </row>
    <row r="58" spans="1:7" x14ac:dyDescent="0.35">
      <c r="A58" s="145" t="s">
        <v>524</v>
      </c>
      <c r="B58" s="145" t="s">
        <v>525</v>
      </c>
      <c r="C58" s="179"/>
      <c r="D58" s="179"/>
      <c r="E58" s="179"/>
      <c r="F58" s="179"/>
      <c r="G58" s="145"/>
    </row>
    <row r="59" spans="1:7" x14ac:dyDescent="0.35">
      <c r="A59" s="145" t="s">
        <v>526</v>
      </c>
      <c r="B59" s="145" t="s">
        <v>527</v>
      </c>
      <c r="C59" s="179"/>
      <c r="D59" s="179"/>
      <c r="E59" s="179"/>
      <c r="F59" s="179"/>
      <c r="G59" s="145"/>
    </row>
    <row r="60" spans="1:7" x14ac:dyDescent="0.35">
      <c r="A60" s="145" t="s">
        <v>528</v>
      </c>
      <c r="B60" s="145" t="s">
        <v>3</v>
      </c>
      <c r="C60" s="179"/>
      <c r="D60" s="179"/>
      <c r="E60" s="179"/>
      <c r="F60" s="179"/>
      <c r="G60" s="145"/>
    </row>
    <row r="61" spans="1:7" x14ac:dyDescent="0.35">
      <c r="A61" s="145" t="s">
        <v>529</v>
      </c>
      <c r="B61" s="145" t="s">
        <v>530</v>
      </c>
      <c r="C61" s="179"/>
      <c r="D61" s="179"/>
      <c r="E61" s="179"/>
      <c r="F61" s="179"/>
      <c r="G61" s="145"/>
    </row>
    <row r="62" spans="1:7" x14ac:dyDescent="0.35">
      <c r="A62" s="145" t="s">
        <v>531</v>
      </c>
      <c r="B62" s="145" t="s">
        <v>532</v>
      </c>
      <c r="C62" s="179"/>
      <c r="D62" s="179"/>
      <c r="E62" s="179"/>
      <c r="F62" s="179"/>
      <c r="G62" s="145"/>
    </row>
    <row r="63" spans="1:7" x14ac:dyDescent="0.35">
      <c r="A63" s="145" t="s">
        <v>533</v>
      </c>
      <c r="B63" s="145" t="s">
        <v>534</v>
      </c>
      <c r="C63" s="179"/>
      <c r="D63" s="179"/>
      <c r="E63" s="179"/>
      <c r="F63" s="179"/>
      <c r="G63" s="145"/>
    </row>
    <row r="64" spans="1:7" x14ac:dyDescent="0.35">
      <c r="A64" s="145" t="s">
        <v>535</v>
      </c>
      <c r="B64" s="145" t="s">
        <v>536</v>
      </c>
      <c r="C64" s="179"/>
      <c r="D64" s="179"/>
      <c r="E64" s="179"/>
      <c r="F64" s="179"/>
      <c r="G64" s="145"/>
    </row>
    <row r="65" spans="1:7" x14ac:dyDescent="0.35">
      <c r="A65" s="145" t="s">
        <v>537</v>
      </c>
      <c r="B65" s="145" t="s">
        <v>538</v>
      </c>
      <c r="C65" s="179"/>
      <c r="D65" s="179"/>
      <c r="E65" s="179"/>
      <c r="F65" s="179"/>
      <c r="G65" s="145"/>
    </row>
    <row r="66" spans="1:7" x14ac:dyDescent="0.35">
      <c r="A66" s="145" t="s">
        <v>539</v>
      </c>
      <c r="B66" s="145" t="s">
        <v>540</v>
      </c>
      <c r="C66" s="179"/>
      <c r="D66" s="179"/>
      <c r="E66" s="179"/>
      <c r="F66" s="179"/>
      <c r="G66" s="145"/>
    </row>
    <row r="67" spans="1:7" x14ac:dyDescent="0.35">
      <c r="A67" s="145" t="s">
        <v>541</v>
      </c>
      <c r="B67" s="145" t="s">
        <v>542</v>
      </c>
      <c r="C67" s="179"/>
      <c r="D67" s="179"/>
      <c r="E67" s="179"/>
      <c r="F67" s="179"/>
      <c r="G67" s="145"/>
    </row>
    <row r="68" spans="1:7" x14ac:dyDescent="0.35">
      <c r="A68" s="145" t="s">
        <v>543</v>
      </c>
      <c r="B68" s="145" t="s">
        <v>544</v>
      </c>
      <c r="C68" s="179"/>
      <c r="D68" s="179"/>
      <c r="E68" s="179"/>
      <c r="F68" s="179"/>
      <c r="G68" s="145"/>
    </row>
    <row r="69" spans="1:7" x14ac:dyDescent="0.35">
      <c r="A69" s="264" t="s">
        <v>545</v>
      </c>
      <c r="B69" s="145" t="s">
        <v>546</v>
      </c>
      <c r="C69" s="179"/>
      <c r="D69" s="179"/>
      <c r="E69" s="179"/>
      <c r="F69" s="179"/>
      <c r="G69" s="145"/>
    </row>
    <row r="70" spans="1:7" x14ac:dyDescent="0.35">
      <c r="A70" s="264" t="s">
        <v>547</v>
      </c>
      <c r="B70" s="145" t="s">
        <v>548</v>
      </c>
      <c r="C70" s="179"/>
      <c r="D70" s="179"/>
      <c r="E70" s="179"/>
      <c r="F70" s="179"/>
      <c r="G70" s="145"/>
    </row>
    <row r="71" spans="1:7" x14ac:dyDescent="0.35">
      <c r="A71" s="264" t="s">
        <v>549</v>
      </c>
      <c r="B71" s="145" t="s">
        <v>6</v>
      </c>
      <c r="C71" s="179"/>
      <c r="D71" s="179"/>
      <c r="E71" s="179"/>
      <c r="F71" s="179"/>
      <c r="G71" s="145"/>
    </row>
    <row r="72" spans="1:7" x14ac:dyDescent="0.35">
      <c r="A72" s="264" t="s">
        <v>550</v>
      </c>
      <c r="B72" s="165" t="s">
        <v>313</v>
      </c>
      <c r="C72" s="178">
        <f>SUM(C73:C75)</f>
        <v>0</v>
      </c>
      <c r="D72" s="178">
        <f>SUM(D73:D75)</f>
        <v>0</v>
      </c>
      <c r="E72" s="179"/>
      <c r="F72" s="178">
        <f>SUM(F73:F75)</f>
        <v>0</v>
      </c>
      <c r="G72" s="145"/>
    </row>
    <row r="73" spans="1:7" x14ac:dyDescent="0.35">
      <c r="A73" s="264" t="s">
        <v>552</v>
      </c>
      <c r="B73" s="145" t="s">
        <v>554</v>
      </c>
      <c r="C73" s="179"/>
      <c r="D73" s="179"/>
      <c r="E73" s="179"/>
      <c r="F73" s="179"/>
      <c r="G73" s="145"/>
    </row>
    <row r="74" spans="1:7" x14ac:dyDescent="0.35">
      <c r="A74" s="264" t="s">
        <v>553</v>
      </c>
      <c r="B74" s="145" t="s">
        <v>556</v>
      </c>
      <c r="C74" s="179"/>
      <c r="D74" s="179"/>
      <c r="E74" s="179"/>
      <c r="F74" s="179"/>
      <c r="G74" s="145"/>
    </row>
    <row r="75" spans="1:7" x14ac:dyDescent="0.35">
      <c r="A75" s="264" t="s">
        <v>555</v>
      </c>
      <c r="B75" s="145" t="s">
        <v>2</v>
      </c>
      <c r="C75" s="179"/>
      <c r="D75" s="179"/>
      <c r="E75" s="179"/>
      <c r="F75" s="179"/>
      <c r="G75" s="145"/>
    </row>
    <row r="76" spans="1:7" x14ac:dyDescent="0.35">
      <c r="A76" s="264" t="s">
        <v>1540</v>
      </c>
      <c r="B76" s="165" t="s">
        <v>143</v>
      </c>
      <c r="C76" s="178">
        <f>SUM(C77:C87)</f>
        <v>0</v>
      </c>
      <c r="D76" s="178">
        <f>SUM(D77:D87)</f>
        <v>0</v>
      </c>
      <c r="E76" s="179"/>
      <c r="F76" s="178">
        <f>SUM(F77:F87)</f>
        <v>0</v>
      </c>
      <c r="G76" s="145"/>
    </row>
    <row r="77" spans="1:7" x14ac:dyDescent="0.35">
      <c r="A77" s="264" t="s">
        <v>557</v>
      </c>
      <c r="B77" s="166" t="s">
        <v>315</v>
      </c>
      <c r="C77" s="179"/>
      <c r="D77" s="179"/>
      <c r="E77" s="179"/>
      <c r="F77" s="179"/>
      <c r="G77" s="145"/>
    </row>
    <row r="78" spans="1:7" s="263" customFormat="1" x14ac:dyDescent="0.35">
      <c r="A78" s="264" t="s">
        <v>558</v>
      </c>
      <c r="B78" s="264" t="s">
        <v>551</v>
      </c>
      <c r="C78" s="265"/>
      <c r="D78" s="265"/>
      <c r="E78" s="265"/>
      <c r="F78" s="265"/>
      <c r="G78" s="264"/>
    </row>
    <row r="79" spans="1:7" x14ac:dyDescent="0.35">
      <c r="A79" s="264" t="s">
        <v>559</v>
      </c>
      <c r="B79" s="166" t="s">
        <v>317</v>
      </c>
      <c r="C79" s="179"/>
      <c r="D79" s="179"/>
      <c r="E79" s="179"/>
      <c r="F79" s="179"/>
      <c r="G79" s="145"/>
    </row>
    <row r="80" spans="1:7" x14ac:dyDescent="0.35">
      <c r="A80" s="145" t="s">
        <v>560</v>
      </c>
      <c r="B80" s="166" t="s">
        <v>319</v>
      </c>
      <c r="C80" s="179"/>
      <c r="D80" s="179"/>
      <c r="E80" s="179"/>
      <c r="F80" s="179"/>
      <c r="G80" s="145"/>
    </row>
    <row r="81" spans="1:7" x14ac:dyDescent="0.35">
      <c r="A81" s="145" t="s">
        <v>561</v>
      </c>
      <c r="B81" s="166" t="s">
        <v>12</v>
      </c>
      <c r="C81" s="179"/>
      <c r="D81" s="179"/>
      <c r="E81" s="179"/>
      <c r="F81" s="179"/>
      <c r="G81" s="145"/>
    </row>
    <row r="82" spans="1:7" x14ac:dyDescent="0.35">
      <c r="A82" s="145" t="s">
        <v>562</v>
      </c>
      <c r="B82" s="166" t="s">
        <v>322</v>
      </c>
      <c r="C82" s="179"/>
      <c r="D82" s="179"/>
      <c r="E82" s="179"/>
      <c r="F82" s="179"/>
      <c r="G82" s="145"/>
    </row>
    <row r="83" spans="1:7" x14ac:dyDescent="0.35">
      <c r="A83" s="145" t="s">
        <v>563</v>
      </c>
      <c r="B83" s="166" t="s">
        <v>324</v>
      </c>
      <c r="C83" s="179"/>
      <c r="D83" s="179"/>
      <c r="E83" s="179"/>
      <c r="F83" s="179"/>
      <c r="G83" s="145"/>
    </row>
    <row r="84" spans="1:7" x14ac:dyDescent="0.35">
      <c r="A84" s="145" t="s">
        <v>564</v>
      </c>
      <c r="B84" s="166" t="s">
        <v>326</v>
      </c>
      <c r="C84" s="179"/>
      <c r="D84" s="179"/>
      <c r="E84" s="179"/>
      <c r="F84" s="179"/>
      <c r="G84" s="145"/>
    </row>
    <row r="85" spans="1:7" x14ac:dyDescent="0.35">
      <c r="A85" s="145" t="s">
        <v>565</v>
      </c>
      <c r="B85" s="166" t="s">
        <v>328</v>
      </c>
      <c r="C85" s="179"/>
      <c r="D85" s="179"/>
      <c r="E85" s="179"/>
      <c r="F85" s="179"/>
      <c r="G85" s="145"/>
    </row>
    <row r="86" spans="1:7" x14ac:dyDescent="0.35">
      <c r="A86" s="145" t="s">
        <v>566</v>
      </c>
      <c r="B86" s="166" t="s">
        <v>330</v>
      </c>
      <c r="C86" s="179"/>
      <c r="D86" s="179"/>
      <c r="E86" s="179"/>
      <c r="F86" s="179"/>
      <c r="G86" s="145"/>
    </row>
    <row r="87" spans="1:7" x14ac:dyDescent="0.35">
      <c r="A87" s="145" t="s">
        <v>567</v>
      </c>
      <c r="B87" s="166" t="s">
        <v>143</v>
      </c>
      <c r="C87" s="179"/>
      <c r="D87" s="179"/>
      <c r="E87" s="179"/>
      <c r="F87" s="179"/>
      <c r="G87" s="145"/>
    </row>
    <row r="88" spans="1:7" outlineLevel="1" x14ac:dyDescent="0.35">
      <c r="A88" s="145" t="s">
        <v>568</v>
      </c>
      <c r="B88" s="162" t="s">
        <v>147</v>
      </c>
      <c r="C88" s="179"/>
      <c r="D88" s="179"/>
      <c r="E88" s="179"/>
      <c r="F88" s="179"/>
      <c r="G88" s="145"/>
    </row>
    <row r="89" spans="1:7" outlineLevel="1" x14ac:dyDescent="0.35">
      <c r="A89" s="145" t="s">
        <v>569</v>
      </c>
      <c r="B89" s="162" t="s">
        <v>147</v>
      </c>
      <c r="C89" s="179"/>
      <c r="D89" s="179"/>
      <c r="E89" s="179"/>
      <c r="F89" s="179"/>
      <c r="G89" s="145"/>
    </row>
    <row r="90" spans="1:7" outlineLevel="1" x14ac:dyDescent="0.35">
      <c r="A90" s="145" t="s">
        <v>570</v>
      </c>
      <c r="B90" s="162" t="s">
        <v>147</v>
      </c>
      <c r="C90" s="179"/>
      <c r="D90" s="179"/>
      <c r="E90" s="179"/>
      <c r="F90" s="179"/>
      <c r="G90" s="145"/>
    </row>
    <row r="91" spans="1:7" outlineLevel="1" x14ac:dyDescent="0.35">
      <c r="A91" s="145" t="s">
        <v>571</v>
      </c>
      <c r="B91" s="162" t="s">
        <v>147</v>
      </c>
      <c r="C91" s="179"/>
      <c r="D91" s="179"/>
      <c r="E91" s="179"/>
      <c r="F91" s="179"/>
      <c r="G91" s="145"/>
    </row>
    <row r="92" spans="1:7" outlineLevel="1" x14ac:dyDescent="0.35">
      <c r="A92" s="145" t="s">
        <v>572</v>
      </c>
      <c r="B92" s="162" t="s">
        <v>147</v>
      </c>
      <c r="C92" s="179"/>
      <c r="D92" s="179"/>
      <c r="E92" s="179"/>
      <c r="F92" s="179"/>
      <c r="G92" s="145"/>
    </row>
    <row r="93" spans="1:7" outlineLevel="1" x14ac:dyDescent="0.35">
      <c r="A93" s="145" t="s">
        <v>573</v>
      </c>
      <c r="B93" s="162" t="s">
        <v>147</v>
      </c>
      <c r="C93" s="179"/>
      <c r="D93" s="179"/>
      <c r="E93" s="179"/>
      <c r="F93" s="179"/>
      <c r="G93" s="145"/>
    </row>
    <row r="94" spans="1:7" outlineLevel="1" x14ac:dyDescent="0.35">
      <c r="A94" s="145" t="s">
        <v>574</v>
      </c>
      <c r="B94" s="162" t="s">
        <v>147</v>
      </c>
      <c r="C94" s="179"/>
      <c r="D94" s="179"/>
      <c r="E94" s="179"/>
      <c r="F94" s="179"/>
      <c r="G94" s="145"/>
    </row>
    <row r="95" spans="1:7" outlineLevel="1" x14ac:dyDescent="0.35">
      <c r="A95" s="145" t="s">
        <v>575</v>
      </c>
      <c r="B95" s="162" t="s">
        <v>147</v>
      </c>
      <c r="C95" s="179"/>
      <c r="D95" s="179"/>
      <c r="E95" s="179"/>
      <c r="F95" s="179"/>
      <c r="G95" s="145"/>
    </row>
    <row r="96" spans="1:7" outlineLevel="1" x14ac:dyDescent="0.35">
      <c r="A96" s="145" t="s">
        <v>576</v>
      </c>
      <c r="B96" s="162" t="s">
        <v>147</v>
      </c>
      <c r="C96" s="179"/>
      <c r="D96" s="179"/>
      <c r="E96" s="179"/>
      <c r="F96" s="179"/>
      <c r="G96" s="145"/>
    </row>
    <row r="97" spans="1:7" outlineLevel="1" x14ac:dyDescent="0.35">
      <c r="A97" s="145" t="s">
        <v>577</v>
      </c>
      <c r="B97" s="162" t="s">
        <v>147</v>
      </c>
      <c r="C97" s="179"/>
      <c r="D97" s="179"/>
      <c r="E97" s="179"/>
      <c r="F97" s="179"/>
      <c r="G97" s="145"/>
    </row>
    <row r="98" spans="1:7" ht="15" customHeight="1" x14ac:dyDescent="0.35">
      <c r="A98" s="156"/>
      <c r="B98" s="192" t="s">
        <v>1551</v>
      </c>
      <c r="C98" s="156" t="s">
        <v>486</v>
      </c>
      <c r="D98" s="156" t="s">
        <v>487</v>
      </c>
      <c r="E98" s="163"/>
      <c r="F98" s="158" t="s">
        <v>454</v>
      </c>
      <c r="G98" s="158"/>
    </row>
    <row r="99" spans="1:7" x14ac:dyDescent="0.35">
      <c r="A99" s="145" t="s">
        <v>578</v>
      </c>
      <c r="B99" s="330" t="s">
        <v>3132</v>
      </c>
      <c r="C99" s="364">
        <f>CRD_PRETS_REGION_AUVERGNE_RHONE_ALPES_2016/CRD_PRETS_SELECTION</f>
        <v>0.10153175065659523</v>
      </c>
      <c r="D99" s="179"/>
      <c r="E99" s="179"/>
      <c r="F99" s="179"/>
      <c r="G99" s="145"/>
    </row>
    <row r="100" spans="1:7" x14ac:dyDescent="0.35">
      <c r="A100" s="145" t="s">
        <v>580</v>
      </c>
      <c r="B100" s="330" t="s">
        <v>3133</v>
      </c>
      <c r="C100" s="364">
        <f>CRD_PRETS_REGION_BOURGOGNE_FRANCHE_COMTE_2016/CRD_PRETS_SELECTION</f>
        <v>7.8294033360744308E-3</v>
      </c>
      <c r="D100" s="179"/>
      <c r="E100" s="179"/>
      <c r="F100" s="179"/>
      <c r="G100" s="145"/>
    </row>
    <row r="101" spans="1:7" x14ac:dyDescent="0.35">
      <c r="A101" s="145" t="s">
        <v>581</v>
      </c>
      <c r="B101" s="330" t="s">
        <v>3134</v>
      </c>
      <c r="C101" s="364">
        <f>CRD_PRETS_REGION_BRETAGNE_2016/CRD_PRETS_SELECTION</f>
        <v>1.4072664184554157E-2</v>
      </c>
      <c r="D101" s="179"/>
      <c r="E101" s="179"/>
      <c r="F101" s="179"/>
      <c r="G101" s="145"/>
    </row>
    <row r="102" spans="1:7" x14ac:dyDescent="0.35">
      <c r="A102" s="145" t="s">
        <v>582</v>
      </c>
      <c r="B102" s="330" t="s">
        <v>3135</v>
      </c>
      <c r="C102" s="364">
        <f>CRD_PRETS_REGION_CENTRE_VAL_DE_LOIRE_2016/CRD_PRETS_SELECTION</f>
        <v>1.7115081111116447E-2</v>
      </c>
      <c r="D102" s="179"/>
      <c r="E102" s="179"/>
      <c r="F102" s="179"/>
      <c r="G102" s="145"/>
    </row>
    <row r="103" spans="1:7" x14ac:dyDescent="0.35">
      <c r="A103" s="145" t="s">
        <v>583</v>
      </c>
      <c r="B103" s="330" t="s">
        <v>3136</v>
      </c>
      <c r="C103" s="364">
        <f>CRD_PRETS_REGION_CORSE_2016/CRD_PRETS_SELECTION</f>
        <v>2.8367790903703438E-3</v>
      </c>
      <c r="D103" s="179"/>
      <c r="E103" s="179"/>
      <c r="F103" s="179"/>
      <c r="G103" s="145"/>
    </row>
    <row r="104" spans="1:7" x14ac:dyDescent="0.35">
      <c r="A104" s="145" t="s">
        <v>584</v>
      </c>
      <c r="B104" s="330" t="s">
        <v>3137</v>
      </c>
      <c r="C104" s="364">
        <f>CRD_PRETS_REGION_GRAND_EST_2016/CRD_PRETS_SELECTION</f>
        <v>2.467625544811294E-2</v>
      </c>
      <c r="D104" s="179"/>
      <c r="E104" s="179"/>
      <c r="F104" s="179"/>
      <c r="G104" s="145"/>
    </row>
    <row r="105" spans="1:7" x14ac:dyDescent="0.35">
      <c r="A105" s="145" t="s">
        <v>585</v>
      </c>
      <c r="B105" s="330" t="s">
        <v>3138</v>
      </c>
      <c r="C105" s="364">
        <f>CRD_PRETS_REGION_HAUTS_DE_FRANCE_2016/CRD_PRETS_SELECTION</f>
        <v>6.8830413666355242E-2</v>
      </c>
      <c r="D105" s="179"/>
      <c r="E105" s="179"/>
      <c r="F105" s="179"/>
      <c r="G105" s="145"/>
    </row>
    <row r="106" spans="1:7" x14ac:dyDescent="0.35">
      <c r="A106" s="145" t="s">
        <v>586</v>
      </c>
      <c r="B106" s="330" t="s">
        <v>3139</v>
      </c>
      <c r="C106" s="364">
        <f>CRD_PRETS_REGION_ILE_DE_FRANCE_2016/CRD_PRETS_SELECTION</f>
        <v>0.46263651448702336</v>
      </c>
      <c r="D106" s="179"/>
      <c r="E106" s="179"/>
      <c r="F106" s="179"/>
      <c r="G106" s="145"/>
    </row>
    <row r="107" spans="1:7" x14ac:dyDescent="0.35">
      <c r="A107" s="145" t="s">
        <v>587</v>
      </c>
      <c r="B107" s="330" t="s">
        <v>3140</v>
      </c>
      <c r="C107" s="364">
        <f>CRD_PRETS_REGION_NORMANDIE_2016/CRD_PRETS_SELECTION</f>
        <v>2.0435205465306361E-2</v>
      </c>
      <c r="D107" s="179"/>
      <c r="E107" s="179"/>
      <c r="F107" s="179"/>
      <c r="G107" s="145"/>
    </row>
    <row r="108" spans="1:7" x14ac:dyDescent="0.35">
      <c r="A108" s="145" t="s">
        <v>588</v>
      </c>
      <c r="B108" s="330" t="s">
        <v>3141</v>
      </c>
      <c r="C108" s="364">
        <f>CRD_PRETS_REGION_NOUVELLE_AQUITAINE_2016/CRD_PRETS_SELECTION</f>
        <v>5.8029115517890924E-2</v>
      </c>
      <c r="D108" s="179"/>
      <c r="E108" s="179"/>
      <c r="F108" s="179"/>
      <c r="G108" s="145"/>
    </row>
    <row r="109" spans="1:7" x14ac:dyDescent="0.35">
      <c r="A109" s="145" t="s">
        <v>589</v>
      </c>
      <c r="B109" s="330" t="s">
        <v>3142</v>
      </c>
      <c r="C109" s="364">
        <f>CRD_PRETS_REGION_OCCITANIE_2016/CRD_PRETS_SELECTION</f>
        <v>4.172346554956894E-2</v>
      </c>
      <c r="D109" s="179"/>
      <c r="E109" s="179"/>
      <c r="F109" s="179"/>
      <c r="G109" s="145"/>
    </row>
    <row r="110" spans="1:7" x14ac:dyDescent="0.35">
      <c r="A110" s="145" t="s">
        <v>590</v>
      </c>
      <c r="B110" s="330" t="s">
        <v>3143</v>
      </c>
      <c r="C110" s="364">
        <f>CRD_PRETS_REGION_PAYS_DE_LA_LOIRE_2016/CRD_PRETS_SELECTION</f>
        <v>2.7804080379195489E-2</v>
      </c>
      <c r="D110" s="179"/>
      <c r="E110" s="179"/>
      <c r="F110" s="179"/>
      <c r="G110" s="145"/>
    </row>
    <row r="111" spans="1:7" x14ac:dyDescent="0.35">
      <c r="A111" s="145" t="s">
        <v>591</v>
      </c>
      <c r="B111" s="330" t="s">
        <v>3144</v>
      </c>
      <c r="C111" s="364">
        <f>CRD_PRETS_REGION_PROVENCE_ALPES_COTE_AZUR_2016/CRD_PRETS_SELECTION</f>
        <v>0.15247927110783613</v>
      </c>
      <c r="D111" s="179"/>
      <c r="E111" s="179"/>
      <c r="F111" s="179"/>
      <c r="G111" s="145"/>
    </row>
    <row r="112" spans="1:7" x14ac:dyDescent="0.35">
      <c r="A112" s="145" t="s">
        <v>592</v>
      </c>
      <c r="B112" s="330" t="s">
        <v>3145</v>
      </c>
      <c r="C112" s="364">
        <v>0</v>
      </c>
      <c r="D112" s="179"/>
      <c r="E112" s="179"/>
      <c r="F112" s="179"/>
      <c r="G112" s="145"/>
    </row>
    <row r="113" spans="1:7" x14ac:dyDescent="0.35">
      <c r="A113" s="145" t="s">
        <v>593</v>
      </c>
      <c r="B113" s="166"/>
      <c r="C113" s="179"/>
      <c r="D113" s="179"/>
      <c r="E113" s="179"/>
      <c r="F113" s="179"/>
      <c r="G113" s="145"/>
    </row>
    <row r="114" spans="1:7" x14ac:dyDescent="0.35">
      <c r="A114" s="145" t="s">
        <v>594</v>
      </c>
      <c r="B114" s="166"/>
      <c r="C114" s="179"/>
      <c r="D114" s="179"/>
      <c r="E114" s="179"/>
      <c r="F114" s="179"/>
      <c r="G114" s="145"/>
    </row>
    <row r="115" spans="1:7" x14ac:dyDescent="0.35">
      <c r="A115" s="145" t="s">
        <v>595</v>
      </c>
      <c r="B115" s="166"/>
      <c r="C115" s="179"/>
      <c r="D115" s="179"/>
      <c r="E115" s="179"/>
      <c r="F115" s="179"/>
      <c r="G115" s="145"/>
    </row>
    <row r="116" spans="1:7" x14ac:dyDescent="0.35">
      <c r="A116" s="145" t="s">
        <v>596</v>
      </c>
      <c r="B116" s="166"/>
      <c r="C116" s="179"/>
      <c r="D116" s="179"/>
      <c r="E116" s="179"/>
      <c r="F116" s="179"/>
      <c r="G116" s="145"/>
    </row>
    <row r="117" spans="1:7" x14ac:dyDescent="0.35">
      <c r="A117" s="145" t="s">
        <v>597</v>
      </c>
      <c r="B117" s="166"/>
      <c r="C117" s="179"/>
      <c r="D117" s="179"/>
      <c r="E117" s="179"/>
      <c r="F117" s="179"/>
      <c r="G117" s="145"/>
    </row>
    <row r="118" spans="1:7" x14ac:dyDescent="0.35">
      <c r="A118" s="145" t="s">
        <v>598</v>
      </c>
      <c r="B118" s="166"/>
      <c r="C118" s="179"/>
      <c r="D118" s="179"/>
      <c r="E118" s="179"/>
      <c r="F118" s="179"/>
      <c r="G118" s="145"/>
    </row>
    <row r="119" spans="1:7" x14ac:dyDescent="0.35">
      <c r="A119" s="145" t="s">
        <v>599</v>
      </c>
      <c r="B119" s="166"/>
      <c r="C119" s="179"/>
      <c r="D119" s="179"/>
      <c r="E119" s="179"/>
      <c r="F119" s="179"/>
      <c r="G119" s="145"/>
    </row>
    <row r="120" spans="1:7" x14ac:dyDescent="0.35">
      <c r="A120" s="145" t="s">
        <v>600</v>
      </c>
      <c r="B120" s="166"/>
      <c r="C120" s="179"/>
      <c r="D120" s="179"/>
      <c r="E120" s="179"/>
      <c r="F120" s="179"/>
      <c r="G120" s="145"/>
    </row>
    <row r="121" spans="1:7" x14ac:dyDescent="0.35">
      <c r="A121" s="145" t="s">
        <v>601</v>
      </c>
      <c r="B121" s="166"/>
      <c r="C121" s="179"/>
      <c r="D121" s="179"/>
      <c r="E121" s="179"/>
      <c r="F121" s="179"/>
      <c r="G121" s="145"/>
    </row>
    <row r="122" spans="1:7" x14ac:dyDescent="0.35">
      <c r="A122" s="145" t="s">
        <v>602</v>
      </c>
      <c r="B122" s="166"/>
      <c r="C122" s="179"/>
      <c r="D122" s="179"/>
      <c r="E122" s="179"/>
      <c r="F122" s="179"/>
      <c r="G122" s="145"/>
    </row>
    <row r="123" spans="1:7" x14ac:dyDescent="0.35">
      <c r="A123" s="145" t="s">
        <v>603</v>
      </c>
      <c r="B123" s="166"/>
      <c r="C123" s="179"/>
      <c r="D123" s="179"/>
      <c r="E123" s="179"/>
      <c r="F123" s="179"/>
      <c r="G123" s="145"/>
    </row>
    <row r="124" spans="1:7" x14ac:dyDescent="0.35">
      <c r="A124" s="145" t="s">
        <v>604</v>
      </c>
      <c r="B124" s="166"/>
      <c r="C124" s="179"/>
      <c r="D124" s="179"/>
      <c r="E124" s="179"/>
      <c r="F124" s="179"/>
      <c r="G124" s="145"/>
    </row>
    <row r="125" spans="1:7" x14ac:dyDescent="0.35">
      <c r="A125" s="145" t="s">
        <v>605</v>
      </c>
      <c r="B125" s="166"/>
      <c r="C125" s="179"/>
      <c r="D125" s="179"/>
      <c r="E125" s="179"/>
      <c r="F125" s="179"/>
      <c r="G125" s="145"/>
    </row>
    <row r="126" spans="1:7" x14ac:dyDescent="0.35">
      <c r="A126" s="145" t="s">
        <v>606</v>
      </c>
      <c r="B126" s="166"/>
      <c r="C126" s="179"/>
      <c r="D126" s="179"/>
      <c r="E126" s="179"/>
      <c r="F126" s="179"/>
      <c r="G126" s="145"/>
    </row>
    <row r="127" spans="1:7" x14ac:dyDescent="0.35">
      <c r="A127" s="145" t="s">
        <v>607</v>
      </c>
      <c r="B127" s="166"/>
      <c r="C127" s="179"/>
      <c r="D127" s="179"/>
      <c r="E127" s="179"/>
      <c r="F127" s="179"/>
      <c r="G127" s="145"/>
    </row>
    <row r="128" spans="1:7" x14ac:dyDescent="0.35">
      <c r="A128" s="145" t="s">
        <v>608</v>
      </c>
      <c r="B128" s="166"/>
      <c r="C128" s="179"/>
      <c r="D128" s="179"/>
      <c r="E128" s="179"/>
      <c r="F128" s="179"/>
      <c r="G128" s="145"/>
    </row>
    <row r="129" spans="1:7" x14ac:dyDescent="0.35">
      <c r="A129" s="145" t="s">
        <v>609</v>
      </c>
      <c r="B129" s="166"/>
      <c r="C129" s="179"/>
      <c r="D129" s="179"/>
      <c r="E129" s="179"/>
      <c r="F129" s="179"/>
      <c r="G129" s="145"/>
    </row>
    <row r="130" spans="1:7" x14ac:dyDescent="0.35">
      <c r="A130" s="145" t="s">
        <v>1514</v>
      </c>
      <c r="B130" s="166"/>
      <c r="C130" s="179"/>
      <c r="D130" s="179"/>
      <c r="E130" s="179"/>
      <c r="F130" s="179"/>
      <c r="G130" s="145"/>
    </row>
    <row r="131" spans="1:7" x14ac:dyDescent="0.35">
      <c r="A131" s="145" t="s">
        <v>1515</v>
      </c>
      <c r="B131" s="166"/>
      <c r="C131" s="179"/>
      <c r="D131" s="179"/>
      <c r="E131" s="179"/>
      <c r="F131" s="179"/>
      <c r="G131" s="145"/>
    </row>
    <row r="132" spans="1:7" x14ac:dyDescent="0.35">
      <c r="A132" s="145" t="s">
        <v>1516</v>
      </c>
      <c r="B132" s="166"/>
      <c r="C132" s="179"/>
      <c r="D132" s="179"/>
      <c r="E132" s="179"/>
      <c r="F132" s="179"/>
      <c r="G132" s="145"/>
    </row>
    <row r="133" spans="1:7" x14ac:dyDescent="0.35">
      <c r="A133" s="145" t="s">
        <v>1517</v>
      </c>
      <c r="B133" s="166"/>
      <c r="C133" s="179"/>
      <c r="D133" s="179"/>
      <c r="E133" s="179"/>
      <c r="F133" s="179"/>
      <c r="G133" s="145"/>
    </row>
    <row r="134" spans="1:7" x14ac:dyDescent="0.35">
      <c r="A134" s="145" t="s">
        <v>1518</v>
      </c>
      <c r="B134" s="166"/>
      <c r="C134" s="179"/>
      <c r="D134" s="179"/>
      <c r="E134" s="179"/>
      <c r="F134" s="179"/>
      <c r="G134" s="145"/>
    </row>
    <row r="135" spans="1:7" x14ac:dyDescent="0.35">
      <c r="A135" s="145" t="s">
        <v>1519</v>
      </c>
      <c r="B135" s="166"/>
      <c r="C135" s="179"/>
      <c r="D135" s="179"/>
      <c r="E135" s="179"/>
      <c r="F135" s="179"/>
      <c r="G135" s="145"/>
    </row>
    <row r="136" spans="1:7" x14ac:dyDescent="0.35">
      <c r="A136" s="145" t="s">
        <v>1520</v>
      </c>
      <c r="B136" s="166"/>
      <c r="C136" s="179"/>
      <c r="D136" s="179"/>
      <c r="E136" s="179"/>
      <c r="F136" s="179"/>
      <c r="G136" s="145"/>
    </row>
    <row r="137" spans="1:7" x14ac:dyDescent="0.35">
      <c r="A137" s="145" t="s">
        <v>1521</v>
      </c>
      <c r="B137" s="166"/>
      <c r="C137" s="179"/>
      <c r="D137" s="179"/>
      <c r="E137" s="179"/>
      <c r="F137" s="179"/>
      <c r="G137" s="145"/>
    </row>
    <row r="138" spans="1:7" x14ac:dyDescent="0.35">
      <c r="A138" s="145" t="s">
        <v>1522</v>
      </c>
      <c r="B138" s="166"/>
      <c r="C138" s="179"/>
      <c r="D138" s="179"/>
      <c r="E138" s="179"/>
      <c r="F138" s="179"/>
      <c r="G138" s="145"/>
    </row>
    <row r="139" spans="1:7" x14ac:dyDescent="0.35">
      <c r="A139" s="145" t="s">
        <v>1523</v>
      </c>
      <c r="B139" s="166"/>
      <c r="C139" s="179"/>
      <c r="D139" s="179"/>
      <c r="E139" s="179"/>
      <c r="F139" s="179"/>
      <c r="G139" s="145"/>
    </row>
    <row r="140" spans="1:7" x14ac:dyDescent="0.35">
      <c r="A140" s="145" t="s">
        <v>1524</v>
      </c>
      <c r="B140" s="166"/>
      <c r="C140" s="179"/>
      <c r="D140" s="179"/>
      <c r="E140" s="179"/>
      <c r="F140" s="179"/>
      <c r="G140" s="145"/>
    </row>
    <row r="141" spans="1:7" x14ac:dyDescent="0.35">
      <c r="A141" s="145" t="s">
        <v>1525</v>
      </c>
      <c r="B141" s="166"/>
      <c r="C141" s="179"/>
      <c r="D141" s="179"/>
      <c r="E141" s="179"/>
      <c r="F141" s="179"/>
      <c r="G141" s="145"/>
    </row>
    <row r="142" spans="1:7" x14ac:dyDescent="0.35">
      <c r="A142" s="145" t="s">
        <v>1526</v>
      </c>
      <c r="B142" s="166"/>
      <c r="C142" s="179"/>
      <c r="D142" s="179"/>
      <c r="E142" s="179"/>
      <c r="F142" s="179"/>
      <c r="G142" s="145"/>
    </row>
    <row r="143" spans="1:7" x14ac:dyDescent="0.35">
      <c r="A143" s="145" t="s">
        <v>1527</v>
      </c>
      <c r="B143" s="166"/>
      <c r="C143" s="179"/>
      <c r="D143" s="179"/>
      <c r="E143" s="179"/>
      <c r="F143" s="179"/>
      <c r="G143" s="145"/>
    </row>
    <row r="144" spans="1:7" x14ac:dyDescent="0.35">
      <c r="A144" s="145" t="s">
        <v>1528</v>
      </c>
      <c r="B144" s="166"/>
      <c r="C144" s="179"/>
      <c r="D144" s="179"/>
      <c r="E144" s="179"/>
      <c r="F144" s="179"/>
      <c r="G144" s="145"/>
    </row>
    <row r="145" spans="1:7" x14ac:dyDescent="0.35">
      <c r="A145" s="145" t="s">
        <v>1529</v>
      </c>
      <c r="B145" s="166"/>
      <c r="C145" s="179"/>
      <c r="D145" s="179"/>
      <c r="E145" s="179"/>
      <c r="F145" s="179"/>
      <c r="G145" s="145"/>
    </row>
    <row r="146" spans="1:7" x14ac:dyDescent="0.35">
      <c r="A146" s="145" t="s">
        <v>1530</v>
      </c>
      <c r="B146" s="166"/>
      <c r="C146" s="179"/>
      <c r="D146" s="179"/>
      <c r="E146" s="179"/>
      <c r="F146" s="179"/>
      <c r="G146" s="145"/>
    </row>
    <row r="147" spans="1:7" x14ac:dyDescent="0.35">
      <c r="A147" s="145" t="s">
        <v>1531</v>
      </c>
      <c r="B147" s="166"/>
      <c r="C147" s="179"/>
      <c r="D147" s="179"/>
      <c r="E147" s="179"/>
      <c r="F147" s="179"/>
      <c r="G147" s="145"/>
    </row>
    <row r="148" spans="1:7" x14ac:dyDescent="0.35">
      <c r="A148" s="145" t="s">
        <v>1532</v>
      </c>
      <c r="B148" s="166"/>
      <c r="C148" s="179"/>
      <c r="D148" s="179"/>
      <c r="E148" s="179"/>
      <c r="F148" s="179"/>
      <c r="G148" s="145"/>
    </row>
    <row r="149" spans="1:7" ht="15" customHeight="1" x14ac:dyDescent="0.35">
      <c r="A149" s="156"/>
      <c r="B149" s="157" t="s">
        <v>610</v>
      </c>
      <c r="C149" s="156" t="s">
        <v>486</v>
      </c>
      <c r="D149" s="156" t="s">
        <v>487</v>
      </c>
      <c r="E149" s="163"/>
      <c r="F149" s="158" t="s">
        <v>454</v>
      </c>
      <c r="G149" s="158"/>
    </row>
    <row r="150" spans="1:7" x14ac:dyDescent="0.35">
      <c r="A150" s="145" t="s">
        <v>611</v>
      </c>
      <c r="B150" s="145" t="s">
        <v>612</v>
      </c>
      <c r="C150" s="364">
        <f>CRD_PRETS_RATE_TYPE_FIXERATE__TOUTES_UNINDEXED_LTV/CRD_PRETS_SELECTION</f>
        <v>1</v>
      </c>
      <c r="D150" s="364">
        <v>0</v>
      </c>
      <c r="E150" s="180"/>
      <c r="F150" s="364">
        <v>0</v>
      </c>
    </row>
    <row r="151" spans="1:7" x14ac:dyDescent="0.35">
      <c r="A151" s="145" t="s">
        <v>613</v>
      </c>
      <c r="B151" s="145" t="s">
        <v>614</v>
      </c>
      <c r="C151" s="364">
        <f>CRD_PRETS_RATE_TYPE_FLOATINGRATE__TOUTES_UNINDEXED_LTV/CRD_PRETS_SELECTION</f>
        <v>0</v>
      </c>
      <c r="D151" s="364">
        <v>0</v>
      </c>
      <c r="E151" s="180"/>
      <c r="F151" s="364">
        <v>0</v>
      </c>
    </row>
    <row r="152" spans="1:7" x14ac:dyDescent="0.35">
      <c r="A152" s="145" t="s">
        <v>615</v>
      </c>
      <c r="B152" s="145" t="s">
        <v>143</v>
      </c>
      <c r="C152" s="364">
        <v>0</v>
      </c>
      <c r="D152" s="364">
        <v>0</v>
      </c>
      <c r="E152" s="180"/>
      <c r="F152" s="364">
        <v>0</v>
      </c>
    </row>
    <row r="153" spans="1:7" outlineLevel="1" x14ac:dyDescent="0.35">
      <c r="A153" s="145" t="s">
        <v>616</v>
      </c>
      <c r="C153" s="179"/>
      <c r="D153" s="179"/>
      <c r="E153" s="180"/>
      <c r="F153" s="179"/>
    </row>
    <row r="154" spans="1:7" outlineLevel="1" x14ac:dyDescent="0.35">
      <c r="A154" s="145" t="s">
        <v>617</v>
      </c>
      <c r="C154" s="179"/>
      <c r="D154" s="179"/>
      <c r="E154" s="180"/>
      <c r="F154" s="179"/>
    </row>
    <row r="155" spans="1:7" outlineLevel="1" x14ac:dyDescent="0.35">
      <c r="A155" s="145" t="s">
        <v>618</v>
      </c>
      <c r="C155" s="179"/>
      <c r="D155" s="179"/>
      <c r="E155" s="180"/>
      <c r="F155" s="179"/>
    </row>
    <row r="156" spans="1:7" outlineLevel="1" x14ac:dyDescent="0.35">
      <c r="A156" s="145" t="s">
        <v>619</v>
      </c>
      <c r="C156" s="179"/>
      <c r="D156" s="179"/>
      <c r="E156" s="180"/>
      <c r="F156" s="179"/>
    </row>
    <row r="157" spans="1:7" outlineLevel="1" x14ac:dyDescent="0.35">
      <c r="A157" s="145" t="s">
        <v>620</v>
      </c>
      <c r="C157" s="179"/>
      <c r="D157" s="179"/>
      <c r="E157" s="180"/>
      <c r="F157" s="179"/>
    </row>
    <row r="158" spans="1:7" outlineLevel="1" x14ac:dyDescent="0.35">
      <c r="A158" s="145" t="s">
        <v>621</v>
      </c>
      <c r="C158" s="179"/>
      <c r="D158" s="179"/>
      <c r="E158" s="180"/>
      <c r="F158" s="179"/>
    </row>
    <row r="159" spans="1:7" ht="15" customHeight="1" x14ac:dyDescent="0.35">
      <c r="A159" s="156"/>
      <c r="B159" s="157" t="s">
        <v>622</v>
      </c>
      <c r="C159" s="156" t="s">
        <v>486</v>
      </c>
      <c r="D159" s="156" t="s">
        <v>487</v>
      </c>
      <c r="E159" s="163"/>
      <c r="F159" s="158" t="s">
        <v>454</v>
      </c>
      <c r="G159" s="158"/>
    </row>
    <row r="160" spans="1:7" x14ac:dyDescent="0.35">
      <c r="A160" s="145" t="s">
        <v>623</v>
      </c>
      <c r="B160" s="145" t="s">
        <v>624</v>
      </c>
      <c r="C160" s="364">
        <f>CRD_PRET_REMBOURSEMENT_IN_FINE/CRD_PRETS_SELECTION</f>
        <v>0</v>
      </c>
      <c r="D160" s="179"/>
      <c r="E160" s="180"/>
      <c r="F160" s="179"/>
    </row>
    <row r="161" spans="1:7" x14ac:dyDescent="0.35">
      <c r="A161" s="145" t="s">
        <v>625</v>
      </c>
      <c r="B161" s="145" t="s">
        <v>626</v>
      </c>
      <c r="C161" s="364">
        <f>CRD_PRET_REMBOURSEMENT_ECHEANCES_CONSTANTES/CRD_PRETS_SELECTION</f>
        <v>0.99999622157200518</v>
      </c>
      <c r="D161" s="179"/>
      <c r="E161" s="180"/>
      <c r="F161" s="179"/>
    </row>
    <row r="162" spans="1:7" x14ac:dyDescent="0.35">
      <c r="A162" s="145" t="s">
        <v>627</v>
      </c>
      <c r="B162" s="145" t="s">
        <v>143</v>
      </c>
      <c r="C162" s="364">
        <v>0</v>
      </c>
      <c r="D162" s="179"/>
      <c r="E162" s="180"/>
      <c r="F162" s="179"/>
    </row>
    <row r="163" spans="1:7" outlineLevel="1" x14ac:dyDescent="0.35">
      <c r="A163" s="145" t="s">
        <v>628</v>
      </c>
      <c r="E163" s="141"/>
    </row>
    <row r="164" spans="1:7" outlineLevel="1" x14ac:dyDescent="0.35">
      <c r="A164" s="145" t="s">
        <v>629</v>
      </c>
      <c r="E164" s="141"/>
    </row>
    <row r="165" spans="1:7" outlineLevel="1" x14ac:dyDescent="0.35">
      <c r="A165" s="145" t="s">
        <v>630</v>
      </c>
      <c r="E165" s="141"/>
    </row>
    <row r="166" spans="1:7" outlineLevel="1" x14ac:dyDescent="0.35">
      <c r="A166" s="145" t="s">
        <v>631</v>
      </c>
      <c r="E166" s="141"/>
    </row>
    <row r="167" spans="1:7" outlineLevel="1" x14ac:dyDescent="0.35">
      <c r="A167" s="145" t="s">
        <v>632</v>
      </c>
      <c r="E167" s="141"/>
    </row>
    <row r="168" spans="1:7" outlineLevel="1" x14ac:dyDescent="0.35">
      <c r="A168" s="145" t="s">
        <v>633</v>
      </c>
      <c r="E168" s="141"/>
    </row>
    <row r="169" spans="1:7" ht="15" customHeight="1" x14ac:dyDescent="0.35">
      <c r="A169" s="156"/>
      <c r="B169" s="157" t="s">
        <v>634</v>
      </c>
      <c r="C169" s="156" t="s">
        <v>486</v>
      </c>
      <c r="D169" s="156" t="s">
        <v>487</v>
      </c>
      <c r="E169" s="163"/>
      <c r="F169" s="158" t="s">
        <v>454</v>
      </c>
      <c r="G169" s="158"/>
    </row>
    <row r="170" spans="1:7" x14ac:dyDescent="0.35">
      <c r="A170" s="145" t="s">
        <v>635</v>
      </c>
      <c r="B170" s="167" t="s">
        <v>636</v>
      </c>
      <c r="C170" s="364">
        <f>CRD_PRETS_SEASONING_INF_12_MONTHS/CRD_PRETS_SELECTION</f>
        <v>3.0441591109129546E-2</v>
      </c>
      <c r="D170" s="179"/>
      <c r="E170" s="180"/>
      <c r="F170" s="179"/>
    </row>
    <row r="171" spans="1:7" x14ac:dyDescent="0.35">
      <c r="A171" s="145" t="s">
        <v>637</v>
      </c>
      <c r="B171" s="167" t="s">
        <v>638</v>
      </c>
      <c r="C171" s="364">
        <f>CRD_PRETS_SEASONING_12_24_MONTHS/CRD_PRETS_SELECTION</f>
        <v>7.0459854917973047E-2</v>
      </c>
      <c r="D171" s="179"/>
      <c r="E171" s="180"/>
      <c r="F171" s="179"/>
    </row>
    <row r="172" spans="1:7" x14ac:dyDescent="0.35">
      <c r="A172" s="145" t="s">
        <v>639</v>
      </c>
      <c r="B172" s="167" t="s">
        <v>640</v>
      </c>
      <c r="C172" s="364">
        <f>CRD_PRETS_SEASONING_24_36_MONTHS/CRD_PRETS_SELECTION</f>
        <v>9.2765437637129786E-2</v>
      </c>
      <c r="D172" s="179"/>
      <c r="E172" s="179"/>
      <c r="F172" s="179"/>
    </row>
    <row r="173" spans="1:7" x14ac:dyDescent="0.35">
      <c r="A173" s="145" t="s">
        <v>641</v>
      </c>
      <c r="B173" s="167" t="s">
        <v>642</v>
      </c>
      <c r="C173" s="364">
        <f>CRD_PRETS_SEASONING_36_60_MONTHS/CRD_PRETS_SELECTION</f>
        <v>0.29296324244166522</v>
      </c>
      <c r="D173" s="179"/>
      <c r="E173" s="179"/>
      <c r="F173" s="179"/>
    </row>
    <row r="174" spans="1:7" x14ac:dyDescent="0.35">
      <c r="A174" s="145" t="s">
        <v>643</v>
      </c>
      <c r="B174" s="167" t="s">
        <v>644</v>
      </c>
      <c r="C174" s="364">
        <f>CRD_PRETS_SEASONING_SUP_60_MONTHS/CRD_PRETS_SELECTION</f>
        <v>0.51336987389410238</v>
      </c>
      <c r="D174" s="179"/>
      <c r="E174" s="179"/>
      <c r="F174" s="179"/>
    </row>
    <row r="175" spans="1:7" outlineLevel="1" x14ac:dyDescent="0.35">
      <c r="A175" s="145" t="s">
        <v>645</v>
      </c>
      <c r="B175" s="164"/>
      <c r="C175" s="179"/>
      <c r="D175" s="179"/>
      <c r="E175" s="179"/>
      <c r="F175" s="179"/>
    </row>
    <row r="176" spans="1:7" outlineLevel="1" x14ac:dyDescent="0.35">
      <c r="A176" s="145" t="s">
        <v>646</v>
      </c>
      <c r="B176" s="164"/>
      <c r="C176" s="179"/>
      <c r="D176" s="179"/>
      <c r="E176" s="179"/>
      <c r="F176" s="179"/>
    </row>
    <row r="177" spans="1:7" outlineLevel="1" x14ac:dyDescent="0.35">
      <c r="A177" s="145" t="s">
        <v>647</v>
      </c>
      <c r="B177" s="167"/>
      <c r="C177" s="179"/>
      <c r="D177" s="179"/>
      <c r="E177" s="179"/>
      <c r="F177" s="179"/>
    </row>
    <row r="178" spans="1:7" outlineLevel="1" x14ac:dyDescent="0.35">
      <c r="A178" s="145" t="s">
        <v>648</v>
      </c>
      <c r="B178" s="167"/>
      <c r="C178" s="179"/>
      <c r="D178" s="179"/>
      <c r="E178" s="179"/>
      <c r="F178" s="179"/>
    </row>
    <row r="179" spans="1:7" ht="15" customHeight="1" x14ac:dyDescent="0.35">
      <c r="A179" s="156"/>
      <c r="B179" s="192" t="s">
        <v>649</v>
      </c>
      <c r="C179" s="156" t="s">
        <v>486</v>
      </c>
      <c r="D179" s="156" t="s">
        <v>487</v>
      </c>
      <c r="E179" s="156"/>
      <c r="F179" s="156" t="s">
        <v>454</v>
      </c>
      <c r="G179" s="158"/>
    </row>
    <row r="180" spans="1:7" x14ac:dyDescent="0.35">
      <c r="A180" s="145" t="s">
        <v>650</v>
      </c>
      <c r="B180" s="264" t="s">
        <v>651</v>
      </c>
      <c r="C180" s="340">
        <v>0</v>
      </c>
      <c r="D180" s="340">
        <v>0</v>
      </c>
      <c r="E180" s="243"/>
      <c r="F180" s="340">
        <v>0</v>
      </c>
    </row>
    <row r="181" spans="1:7" outlineLevel="1" x14ac:dyDescent="0.35">
      <c r="A181" s="145" t="s">
        <v>2671</v>
      </c>
      <c r="B181" s="231" t="s">
        <v>2670</v>
      </c>
      <c r="C181" s="340" t="s">
        <v>82</v>
      </c>
      <c r="D181" s="340" t="s">
        <v>82</v>
      </c>
      <c r="E181" s="243"/>
      <c r="F181" s="340" t="s">
        <v>82</v>
      </c>
    </row>
    <row r="182" spans="1:7" outlineLevel="1" x14ac:dyDescent="0.35">
      <c r="A182" s="145" t="s">
        <v>652</v>
      </c>
      <c r="B182" s="168"/>
      <c r="C182" s="179"/>
      <c r="D182" s="179"/>
      <c r="E182" s="180"/>
      <c r="F182" s="179"/>
    </row>
    <row r="183" spans="1:7" outlineLevel="1" x14ac:dyDescent="0.35">
      <c r="A183" s="145" t="s">
        <v>653</v>
      </c>
      <c r="B183" s="168"/>
      <c r="C183" s="179"/>
      <c r="D183" s="179"/>
      <c r="E183" s="180"/>
      <c r="F183" s="179"/>
    </row>
    <row r="184" spans="1:7" outlineLevel="1" x14ac:dyDescent="0.35">
      <c r="A184" s="145" t="s">
        <v>654</v>
      </c>
      <c r="B184" s="168"/>
      <c r="C184" s="179"/>
      <c r="D184" s="179"/>
      <c r="E184" s="180"/>
      <c r="F184" s="179"/>
    </row>
    <row r="185" spans="1:7" ht="18.5" x14ac:dyDescent="0.35">
      <c r="A185" s="169"/>
      <c r="B185" s="170" t="s">
        <v>451</v>
      </c>
      <c r="C185" s="169"/>
      <c r="D185" s="169"/>
      <c r="E185" s="169"/>
      <c r="F185" s="171"/>
      <c r="G185" s="171"/>
    </row>
    <row r="186" spans="1:7" ht="15" customHeight="1" x14ac:dyDescent="0.35">
      <c r="A186" s="156"/>
      <c r="B186" s="157" t="s">
        <v>655</v>
      </c>
      <c r="C186" s="156" t="s">
        <v>656</v>
      </c>
      <c r="D186" s="156" t="s">
        <v>657</v>
      </c>
      <c r="E186" s="163"/>
      <c r="F186" s="156" t="s">
        <v>486</v>
      </c>
      <c r="G186" s="156" t="s">
        <v>658</v>
      </c>
    </row>
    <row r="187" spans="1:7" x14ac:dyDescent="0.35">
      <c r="A187" s="145" t="s">
        <v>659</v>
      </c>
      <c r="B187" s="166" t="s">
        <v>660</v>
      </c>
      <c r="C187" s="424">
        <f>CRD_PRETS_SELECTION/NBE_PRETS_SELECTION/1000</f>
        <v>135.46443475576615</v>
      </c>
      <c r="D187" s="426">
        <f>NBE_PRETS_SELECTION</f>
        <v>43053</v>
      </c>
      <c r="E187" s="172"/>
      <c r="F187" s="173"/>
      <c r="G187" s="173"/>
    </row>
    <row r="188" spans="1:7" x14ac:dyDescent="0.35">
      <c r="A188" s="172"/>
      <c r="B188" s="174"/>
      <c r="C188" s="172"/>
      <c r="D188" s="172"/>
      <c r="E188" s="172"/>
      <c r="F188" s="173"/>
      <c r="G188" s="173"/>
    </row>
    <row r="189" spans="1:7" x14ac:dyDescent="0.35">
      <c r="B189" s="166" t="s">
        <v>661</v>
      </c>
      <c r="C189" s="172"/>
      <c r="D189" s="172"/>
      <c r="E189" s="172"/>
      <c r="F189" s="173"/>
      <c r="G189" s="173"/>
    </row>
    <row r="190" spans="1:7" x14ac:dyDescent="0.35">
      <c r="A190" s="145" t="s">
        <v>662</v>
      </c>
      <c r="B190" s="330" t="s">
        <v>3146</v>
      </c>
      <c r="C190" s="424">
        <f>CRD_PRETS_TRANCHE_0_200000/1000000</f>
        <v>3227.7858073699999</v>
      </c>
      <c r="D190" s="426">
        <f>NBE_PRETS_TRANCHE_0_200000</f>
        <v>34177</v>
      </c>
      <c r="E190" s="172"/>
      <c r="F190" s="207">
        <f>IF($C$214=0,"",IF(C190="[for completion]","",IF(C190="","",C190/$C$214)))</f>
        <v>0.55344695113397813</v>
      </c>
      <c r="G190" s="207">
        <f>IF($D$214=0,"",IF(D190="[for completion]","",IF(D190="","",D190/$D$214)))</f>
        <v>0.79383550507513989</v>
      </c>
    </row>
    <row r="191" spans="1:7" x14ac:dyDescent="0.35">
      <c r="A191" s="145" t="s">
        <v>663</v>
      </c>
      <c r="B191" s="330" t="s">
        <v>3147</v>
      </c>
      <c r="C191" s="424">
        <f>CRD_PRETS_TRANCHE_200000_400000/1000000</f>
        <v>2096.65202426</v>
      </c>
      <c r="D191" s="426">
        <f>NBE_PRETS_TRANCHE_200000_400000</f>
        <v>7841</v>
      </c>
      <c r="E191" s="172"/>
      <c r="F191" s="207">
        <f t="shared" ref="F191:F213" si="1">IF($C$214=0,"",IF(C191="[for completion]","",IF(C191="","",C191/$C$214)))</f>
        <v>0.35949896915900464</v>
      </c>
      <c r="G191" s="207">
        <f t="shared" ref="G191:G213" si="2">IF($D$214=0,"",IF(D191="[for completion]","",IF(D191="","",D191/$D$214)))</f>
        <v>0.18212435834901169</v>
      </c>
    </row>
    <row r="192" spans="1:7" x14ac:dyDescent="0.35">
      <c r="A192" s="145" t="s">
        <v>664</v>
      </c>
      <c r="B192" s="330" t="s">
        <v>3148</v>
      </c>
      <c r="C192" s="424">
        <f>CRD_PRETS_TRANCHE_400000_600000/1000000</f>
        <v>419.48141314999998</v>
      </c>
      <c r="D192" s="426">
        <f>NBE_PRETS_TRANCHE_400000_600000</f>
        <v>911</v>
      </c>
      <c r="E192" s="172"/>
      <c r="F192" s="207">
        <f t="shared" si="1"/>
        <v>7.1925686219682802E-2</v>
      </c>
      <c r="G192" s="207">
        <f t="shared" si="2"/>
        <v>2.1159965623766055E-2</v>
      </c>
    </row>
    <row r="193" spans="1:7" x14ac:dyDescent="0.35">
      <c r="A193" s="145" t="s">
        <v>665</v>
      </c>
      <c r="B193" s="330" t="s">
        <v>3149</v>
      </c>
      <c r="C193" s="424">
        <f>CRD_PRETS_TRANCHE_600000_800000/1000000</f>
        <v>74.821681599999991</v>
      </c>
      <c r="D193" s="426">
        <f>NBE_PRETS_TRANCHE_600000_800000</f>
        <v>109</v>
      </c>
      <c r="E193" s="172"/>
      <c r="F193" s="207">
        <f t="shared" si="1"/>
        <v>1.2829175797751585E-2</v>
      </c>
      <c r="G193" s="207">
        <f t="shared" si="2"/>
        <v>2.5317631756207465E-3</v>
      </c>
    </row>
    <row r="194" spans="1:7" x14ac:dyDescent="0.35">
      <c r="A194" s="145" t="s">
        <v>666</v>
      </c>
      <c r="B194" s="330" t="s">
        <v>3150</v>
      </c>
      <c r="C194" s="424">
        <f>CRD_PRETS_TRANCHE_800000_1000000/1000000</f>
        <v>13.409383160000001</v>
      </c>
      <c r="D194" s="426">
        <f>NBE_PRETS_TRANCHE_800000_1000000</f>
        <v>15</v>
      </c>
      <c r="E194" s="172"/>
      <c r="F194" s="207">
        <f t="shared" si="1"/>
        <v>2.2992176895827708E-3</v>
      </c>
      <c r="G194" s="207">
        <f t="shared" si="2"/>
        <v>3.4840777646157062E-4</v>
      </c>
    </row>
    <row r="195" spans="1:7" x14ac:dyDescent="0.35">
      <c r="A195" s="145" t="s">
        <v>667</v>
      </c>
      <c r="B195" s="330" t="s">
        <v>3151</v>
      </c>
      <c r="C195" s="424">
        <f>CRD_PRETS_TRANCHE_SUP_1000000/1000000</f>
        <v>0</v>
      </c>
      <c r="D195" s="426">
        <f>NBE_PRETS_TRANCHE_SUP_1000000</f>
        <v>0</v>
      </c>
      <c r="E195" s="172"/>
      <c r="F195" s="207">
        <f t="shared" si="1"/>
        <v>0</v>
      </c>
      <c r="G195" s="207">
        <f t="shared" si="2"/>
        <v>0</v>
      </c>
    </row>
    <row r="196" spans="1:7" x14ac:dyDescent="0.35">
      <c r="A196" s="145" t="s">
        <v>668</v>
      </c>
      <c r="B196" s="330"/>
      <c r="C196" s="424"/>
      <c r="D196" s="426"/>
      <c r="E196" s="172"/>
      <c r="F196" s="207" t="str">
        <f t="shared" si="1"/>
        <v/>
      </c>
      <c r="G196" s="207" t="str">
        <f t="shared" si="2"/>
        <v/>
      </c>
    </row>
    <row r="197" spans="1:7" x14ac:dyDescent="0.35">
      <c r="A197" s="145" t="s">
        <v>669</v>
      </c>
      <c r="B197" s="330"/>
      <c r="C197" s="424"/>
      <c r="D197" s="426"/>
      <c r="E197" s="172"/>
      <c r="F197" s="207" t="str">
        <f t="shared" si="1"/>
        <v/>
      </c>
      <c r="G197" s="207" t="str">
        <f t="shared" si="2"/>
        <v/>
      </c>
    </row>
    <row r="198" spans="1:7" x14ac:dyDescent="0.35">
      <c r="A198" s="145" t="s">
        <v>670</v>
      </c>
      <c r="B198" s="330"/>
      <c r="C198" s="424"/>
      <c r="D198" s="426"/>
      <c r="E198" s="172"/>
      <c r="F198" s="207" t="str">
        <f t="shared" si="1"/>
        <v/>
      </c>
      <c r="G198" s="207" t="str">
        <f t="shared" si="2"/>
        <v/>
      </c>
    </row>
    <row r="199" spans="1:7" x14ac:dyDescent="0.35">
      <c r="A199" s="145" t="s">
        <v>671</v>
      </c>
      <c r="B199" s="330"/>
      <c r="C199" s="424"/>
      <c r="D199" s="426"/>
      <c r="E199" s="166"/>
      <c r="F199" s="207" t="str">
        <f t="shared" si="1"/>
        <v/>
      </c>
      <c r="G199" s="207" t="str">
        <f t="shared" si="2"/>
        <v/>
      </c>
    </row>
    <row r="200" spans="1:7" x14ac:dyDescent="0.35">
      <c r="A200" s="145" t="s">
        <v>672</v>
      </c>
      <c r="B200" s="330"/>
      <c r="C200" s="424"/>
      <c r="D200" s="426"/>
      <c r="E200" s="166"/>
      <c r="F200" s="207" t="str">
        <f t="shared" si="1"/>
        <v/>
      </c>
      <c r="G200" s="207" t="str">
        <f t="shared" si="2"/>
        <v/>
      </c>
    </row>
    <row r="201" spans="1:7" x14ac:dyDescent="0.35">
      <c r="A201" s="145" t="s">
        <v>673</v>
      </c>
      <c r="B201" s="330"/>
      <c r="C201" s="424"/>
      <c r="D201" s="426"/>
      <c r="E201" s="166"/>
      <c r="F201" s="207" t="str">
        <f t="shared" si="1"/>
        <v/>
      </c>
      <c r="G201" s="207" t="str">
        <f t="shared" si="2"/>
        <v/>
      </c>
    </row>
    <row r="202" spans="1:7" x14ac:dyDescent="0.35">
      <c r="A202" s="145" t="s">
        <v>674</v>
      </c>
      <c r="B202" s="330"/>
      <c r="C202" s="424"/>
      <c r="D202" s="426"/>
      <c r="E202" s="166"/>
      <c r="F202" s="207" t="str">
        <f t="shared" si="1"/>
        <v/>
      </c>
      <c r="G202" s="207" t="str">
        <f t="shared" si="2"/>
        <v/>
      </c>
    </row>
    <row r="203" spans="1:7" x14ac:dyDescent="0.35">
      <c r="A203" s="145" t="s">
        <v>675</v>
      </c>
      <c r="B203" s="330"/>
      <c r="C203" s="424"/>
      <c r="D203" s="426"/>
      <c r="E203" s="166"/>
      <c r="F203" s="207" t="str">
        <f t="shared" si="1"/>
        <v/>
      </c>
      <c r="G203" s="207" t="str">
        <f t="shared" si="2"/>
        <v/>
      </c>
    </row>
    <row r="204" spans="1:7" x14ac:dyDescent="0.35">
      <c r="A204" s="145" t="s">
        <v>676</v>
      </c>
      <c r="B204" s="330"/>
      <c r="C204" s="424"/>
      <c r="D204" s="426"/>
      <c r="E204" s="166"/>
      <c r="F204" s="207" t="str">
        <f t="shared" si="1"/>
        <v/>
      </c>
      <c r="G204" s="207" t="str">
        <f t="shared" si="2"/>
        <v/>
      </c>
    </row>
    <row r="205" spans="1:7" x14ac:dyDescent="0.35">
      <c r="A205" s="145" t="s">
        <v>677</v>
      </c>
      <c r="B205" s="330"/>
      <c r="C205" s="424"/>
      <c r="D205" s="426"/>
      <c r="F205" s="207" t="str">
        <f t="shared" si="1"/>
        <v/>
      </c>
      <c r="G205" s="207" t="str">
        <f t="shared" si="2"/>
        <v/>
      </c>
    </row>
    <row r="206" spans="1:7" x14ac:dyDescent="0.35">
      <c r="A206" s="145" t="s">
        <v>678</v>
      </c>
      <c r="B206" s="330"/>
      <c r="C206" s="424"/>
      <c r="D206" s="426"/>
      <c r="E206" s="161"/>
      <c r="F206" s="207" t="str">
        <f t="shared" si="1"/>
        <v/>
      </c>
      <c r="G206" s="207" t="str">
        <f t="shared" si="2"/>
        <v/>
      </c>
    </row>
    <row r="207" spans="1:7" x14ac:dyDescent="0.35">
      <c r="A207" s="145" t="s">
        <v>679</v>
      </c>
      <c r="B207" s="330"/>
      <c r="C207" s="424"/>
      <c r="D207" s="426"/>
      <c r="E207" s="161"/>
      <c r="F207" s="207" t="str">
        <f t="shared" si="1"/>
        <v/>
      </c>
      <c r="G207" s="207" t="str">
        <f t="shared" si="2"/>
        <v/>
      </c>
    </row>
    <row r="208" spans="1:7" x14ac:dyDescent="0.35">
      <c r="A208" s="145" t="s">
        <v>680</v>
      </c>
      <c r="B208" s="330"/>
      <c r="C208" s="424"/>
      <c r="D208" s="426"/>
      <c r="E208" s="161"/>
      <c r="F208" s="207" t="str">
        <f t="shared" si="1"/>
        <v/>
      </c>
      <c r="G208" s="207" t="str">
        <f t="shared" si="2"/>
        <v/>
      </c>
    </row>
    <row r="209" spans="1:7" x14ac:dyDescent="0.35">
      <c r="A209" s="145" t="s">
        <v>681</v>
      </c>
      <c r="B209" s="330"/>
      <c r="C209" s="424"/>
      <c r="D209" s="426"/>
      <c r="E209" s="161"/>
      <c r="F209" s="207" t="str">
        <f t="shared" si="1"/>
        <v/>
      </c>
      <c r="G209" s="207" t="str">
        <f t="shared" si="2"/>
        <v/>
      </c>
    </row>
    <row r="210" spans="1:7" x14ac:dyDescent="0.35">
      <c r="A210" s="145" t="s">
        <v>682</v>
      </c>
      <c r="B210" s="330"/>
      <c r="C210" s="424"/>
      <c r="D210" s="426"/>
      <c r="E210" s="161"/>
      <c r="F210" s="207" t="str">
        <f t="shared" si="1"/>
        <v/>
      </c>
      <c r="G210" s="207" t="str">
        <f t="shared" si="2"/>
        <v/>
      </c>
    </row>
    <row r="211" spans="1:7" x14ac:dyDescent="0.35">
      <c r="A211" s="145" t="s">
        <v>683</v>
      </c>
      <c r="B211" s="330"/>
      <c r="C211" s="424"/>
      <c r="D211" s="426"/>
      <c r="E211" s="161"/>
      <c r="F211" s="207" t="str">
        <f t="shared" si="1"/>
        <v/>
      </c>
      <c r="G211" s="207" t="str">
        <f t="shared" si="2"/>
        <v/>
      </c>
    </row>
    <row r="212" spans="1:7" x14ac:dyDescent="0.35">
      <c r="A212" s="145" t="s">
        <v>684</v>
      </c>
      <c r="B212" s="330"/>
      <c r="C212" s="424"/>
      <c r="D212" s="426"/>
      <c r="E212" s="161"/>
      <c r="F212" s="207" t="str">
        <f t="shared" si="1"/>
        <v/>
      </c>
      <c r="G212" s="207" t="str">
        <f t="shared" si="2"/>
        <v/>
      </c>
    </row>
    <row r="213" spans="1:7" x14ac:dyDescent="0.35">
      <c r="A213" s="145" t="s">
        <v>685</v>
      </c>
      <c r="B213" s="330"/>
      <c r="C213" s="424"/>
      <c r="D213" s="426"/>
      <c r="E213" s="161"/>
      <c r="F213" s="207" t="str">
        <f t="shared" si="1"/>
        <v/>
      </c>
      <c r="G213" s="207" t="str">
        <f t="shared" si="2"/>
        <v/>
      </c>
    </row>
    <row r="214" spans="1:7" x14ac:dyDescent="0.35">
      <c r="A214" s="145" t="s">
        <v>686</v>
      </c>
      <c r="B214" s="175" t="s">
        <v>145</v>
      </c>
      <c r="C214" s="214">
        <f>SUM(C190:C213)</f>
        <v>5832.1503095400003</v>
      </c>
      <c r="D214" s="212">
        <f>SUM(D190:D213)</f>
        <v>43053</v>
      </c>
      <c r="E214" s="161"/>
      <c r="F214" s="213">
        <f>SUM(F190:F213)</f>
        <v>0.99999999999999989</v>
      </c>
      <c r="G214" s="213">
        <f>SUM(G190:G213)</f>
        <v>1</v>
      </c>
    </row>
    <row r="215" spans="1:7" ht="15" customHeight="1" x14ac:dyDescent="0.35">
      <c r="A215" s="156"/>
      <c r="B215" s="156" t="s">
        <v>687</v>
      </c>
      <c r="C215" s="156" t="s">
        <v>656</v>
      </c>
      <c r="D215" s="156" t="s">
        <v>657</v>
      </c>
      <c r="E215" s="163"/>
      <c r="F215" s="156" t="s">
        <v>486</v>
      </c>
      <c r="G215" s="156" t="s">
        <v>658</v>
      </c>
    </row>
    <row r="216" spans="1:7" x14ac:dyDescent="0.35">
      <c r="A216" s="145" t="s">
        <v>688</v>
      </c>
      <c r="B216" s="145" t="s">
        <v>689</v>
      </c>
      <c r="C216" s="364">
        <f>AVERAGE_CURRENT_UNINDEXED_LTV</f>
        <v>0.55941241296020983</v>
      </c>
      <c r="F216" s="210"/>
      <c r="G216" s="210"/>
    </row>
    <row r="217" spans="1:7" x14ac:dyDescent="0.35">
      <c r="F217" s="210"/>
      <c r="G217" s="210"/>
    </row>
    <row r="218" spans="1:7" x14ac:dyDescent="0.35">
      <c r="B218" s="166" t="s">
        <v>690</v>
      </c>
      <c r="F218" s="210"/>
      <c r="G218" s="210"/>
    </row>
    <row r="219" spans="1:7" x14ac:dyDescent="0.35">
      <c r="A219" s="145" t="s">
        <v>691</v>
      </c>
      <c r="B219" s="145" t="s">
        <v>692</v>
      </c>
      <c r="C219" s="424">
        <f>CRD_PRETS__0_UNINDEXED_LTV_40/1000000</f>
        <v>1387.3995221700002</v>
      </c>
      <c r="D219" s="426">
        <f>NBE_PRETS__0_UNINDEXED_LTV_40</f>
        <v>16217</v>
      </c>
      <c r="F219" s="207">
        <f t="shared" ref="F219:F233" si="3">IF($C$227=0,"",IF(C219="[for completion]","",C219/$C$227))</f>
        <v>0.23788816277600855</v>
      </c>
      <c r="G219" s="207">
        <f t="shared" ref="G219:G233" si="4">IF($D$227=0,"",IF(D219="[for completion]","",D219/$D$227))</f>
        <v>0.37667526072515273</v>
      </c>
    </row>
    <row r="220" spans="1:7" x14ac:dyDescent="0.35">
      <c r="A220" s="145" t="s">
        <v>693</v>
      </c>
      <c r="B220" s="145" t="s">
        <v>694</v>
      </c>
      <c r="C220" s="424">
        <f>CRD_PRETS__40_UNINDEXED_LTV_50/1000000</f>
        <v>876.36490123999999</v>
      </c>
      <c r="D220" s="426">
        <f>NBE_PRETS__40_UNINDEXED_LTV_50</f>
        <v>6122</v>
      </c>
      <c r="F220" s="207">
        <f t="shared" si="3"/>
        <v>0.15026445731456492</v>
      </c>
      <c r="G220" s="207">
        <f t="shared" si="4"/>
        <v>0.14219682716651569</v>
      </c>
    </row>
    <row r="221" spans="1:7" x14ac:dyDescent="0.35">
      <c r="A221" s="145" t="s">
        <v>695</v>
      </c>
      <c r="B221" s="145" t="s">
        <v>696</v>
      </c>
      <c r="C221" s="424">
        <f>CRD_PRETS__50_UNINDEXED_LTV_60/1000000</f>
        <v>962.66300644</v>
      </c>
      <c r="D221" s="426">
        <f>NBE_PRETS__50_UNINDEXED_LTV_60</f>
        <v>6089</v>
      </c>
      <c r="F221" s="207">
        <f t="shared" si="3"/>
        <v>0.16506141909019628</v>
      </c>
      <c r="G221" s="207">
        <f t="shared" si="4"/>
        <v>0.14143033005830025</v>
      </c>
    </row>
    <row r="222" spans="1:7" x14ac:dyDescent="0.35">
      <c r="A222" s="145" t="s">
        <v>697</v>
      </c>
      <c r="B222" s="145" t="s">
        <v>698</v>
      </c>
      <c r="C222" s="424">
        <f>CRD_PRETS__60_UNINDEXED_LTV_70/1000000</f>
        <v>989.22372888999996</v>
      </c>
      <c r="D222" s="426">
        <f>NBE_PRETS__60_UNINDEXED_LTV_70</f>
        <v>5622</v>
      </c>
      <c r="F222" s="207">
        <f t="shared" si="3"/>
        <v>0.16961560940428216</v>
      </c>
      <c r="G222" s="207">
        <f t="shared" si="4"/>
        <v>0.13058323461779667</v>
      </c>
    </row>
    <row r="223" spans="1:7" x14ac:dyDescent="0.35">
      <c r="A223" s="145" t="s">
        <v>699</v>
      </c>
      <c r="B223" s="145" t="s">
        <v>700</v>
      </c>
      <c r="C223" s="424">
        <f>CRD_PRETS__70_UNINDEXED_LTV_80/1000000</f>
        <v>828.33762236000007</v>
      </c>
      <c r="D223" s="426">
        <f>NBE_PRETS__70_UNINDEXED_LTV_80</f>
        <v>4473</v>
      </c>
      <c r="F223" s="207">
        <f t="shared" si="3"/>
        <v>0.14202953943162921</v>
      </c>
      <c r="G223" s="207">
        <f t="shared" si="4"/>
        <v>0.10389519894084036</v>
      </c>
    </row>
    <row r="224" spans="1:7" x14ac:dyDescent="0.35">
      <c r="A224" s="145" t="s">
        <v>701</v>
      </c>
      <c r="B224" s="145" t="s">
        <v>702</v>
      </c>
      <c r="C224" s="424">
        <f>(CRD_PRETS__80_UNINDEXED_LTV_85+CRD_PRETS__85_UNINDEXED_LTV_90)/1000000</f>
        <v>538.64877109000008</v>
      </c>
      <c r="D224" s="426">
        <f>NBE_PRETS__80_UNINDEXED_LTV_85+NBE_PRETS__85_UNINDEXED_LTV_90</f>
        <v>3055</v>
      </c>
      <c r="F224" s="207">
        <f t="shared" si="3"/>
        <v>9.2358520014290402E-2</v>
      </c>
      <c r="G224" s="207">
        <f t="shared" si="4"/>
        <v>7.0959050472673216E-2</v>
      </c>
    </row>
    <row r="225" spans="1:7" x14ac:dyDescent="0.35">
      <c r="A225" s="145" t="s">
        <v>703</v>
      </c>
      <c r="B225" s="145" t="s">
        <v>704</v>
      </c>
      <c r="C225" s="424">
        <f>(CRD_PRETS__90_UNINDEXED_LTV_95+CRD_PRETS__95_UNINDEXED_LTV_100)/1000000</f>
        <v>228.32950549</v>
      </c>
      <c r="D225" s="426">
        <f>NBE_PRETS__90_UNINDEXED_LTV_95+NBE_PRETS__95_UNINDEXED_LTV_100</f>
        <v>1337</v>
      </c>
      <c r="F225" s="207">
        <f t="shared" si="3"/>
        <v>3.9150140749374659E-2</v>
      </c>
      <c r="G225" s="207">
        <f t="shared" si="4"/>
        <v>3.1054746475274661E-2</v>
      </c>
    </row>
    <row r="226" spans="1:7" x14ac:dyDescent="0.35">
      <c r="A226" s="145" t="s">
        <v>705</v>
      </c>
      <c r="B226" s="145" t="s">
        <v>706</v>
      </c>
      <c r="C226" s="424">
        <f>(CRD_PRETS__100_UNINDEXED_LTV_105 + CRD_PRETS__105_UNINDEXED_LTV_110+CRD_PRETS__110_UNINDEXED_LTV_115+CRD_PRETS__115_UNINDEXED_LTV)/1000000</f>
        <v>21.183251859999999</v>
      </c>
      <c r="D226" s="426">
        <f>NBE_PRETS__100_UNINDEXED_LTV_105+NBE_PRETS__105_UNINDEXED_LTV</f>
        <v>138</v>
      </c>
      <c r="F226" s="207">
        <f t="shared" si="3"/>
        <v>3.6321512196538001E-3</v>
      </c>
      <c r="G226" s="207">
        <f t="shared" si="4"/>
        <v>3.2053515434464497E-3</v>
      </c>
    </row>
    <row r="227" spans="1:7" x14ac:dyDescent="0.35">
      <c r="A227" s="145" t="s">
        <v>707</v>
      </c>
      <c r="B227" s="175" t="s">
        <v>145</v>
      </c>
      <c r="C227" s="208">
        <f>SUM(C219:C226)</f>
        <v>5832.1503095400003</v>
      </c>
      <c r="D227" s="211">
        <f>SUM(D219:D226)</f>
        <v>43053</v>
      </c>
      <c r="F227" s="179">
        <f>SUM(F219:F226)</f>
        <v>1</v>
      </c>
      <c r="G227" s="179">
        <f>SUM(G219:G226)</f>
        <v>0.99999999999999989</v>
      </c>
    </row>
    <row r="228" spans="1:7" outlineLevel="1" x14ac:dyDescent="0.35">
      <c r="A228" s="145" t="s">
        <v>708</v>
      </c>
      <c r="B228" s="162" t="s">
        <v>709</v>
      </c>
      <c r="C228" s="208"/>
      <c r="D228" s="211"/>
      <c r="F228" s="207">
        <f t="shared" si="3"/>
        <v>0</v>
      </c>
      <c r="G228" s="207">
        <f t="shared" si="4"/>
        <v>0</v>
      </c>
    </row>
    <row r="229" spans="1:7" outlineLevel="1" x14ac:dyDescent="0.35">
      <c r="A229" s="145" t="s">
        <v>710</v>
      </c>
      <c r="B229" s="162" t="s">
        <v>711</v>
      </c>
      <c r="C229" s="208"/>
      <c r="D229" s="211"/>
      <c r="F229" s="207">
        <f t="shared" si="3"/>
        <v>0</v>
      </c>
      <c r="G229" s="207">
        <f t="shared" si="4"/>
        <v>0</v>
      </c>
    </row>
    <row r="230" spans="1:7" outlineLevel="1" x14ac:dyDescent="0.35">
      <c r="A230" s="145" t="s">
        <v>712</v>
      </c>
      <c r="B230" s="162" t="s">
        <v>713</v>
      </c>
      <c r="C230" s="208"/>
      <c r="D230" s="211"/>
      <c r="F230" s="207">
        <f t="shared" si="3"/>
        <v>0</v>
      </c>
      <c r="G230" s="207">
        <f t="shared" si="4"/>
        <v>0</v>
      </c>
    </row>
    <row r="231" spans="1:7" outlineLevel="1" x14ac:dyDescent="0.35">
      <c r="A231" s="145" t="s">
        <v>714</v>
      </c>
      <c r="B231" s="162" t="s">
        <v>715</v>
      </c>
      <c r="C231" s="208"/>
      <c r="D231" s="211"/>
      <c r="F231" s="207">
        <f t="shared" si="3"/>
        <v>0</v>
      </c>
      <c r="G231" s="207">
        <f t="shared" si="4"/>
        <v>0</v>
      </c>
    </row>
    <row r="232" spans="1:7" outlineLevel="1" x14ac:dyDescent="0.35">
      <c r="A232" s="145" t="s">
        <v>716</v>
      </c>
      <c r="B232" s="162" t="s">
        <v>717</v>
      </c>
      <c r="C232" s="208"/>
      <c r="D232" s="211"/>
      <c r="F232" s="207">
        <f t="shared" si="3"/>
        <v>0</v>
      </c>
      <c r="G232" s="207">
        <f t="shared" si="4"/>
        <v>0</v>
      </c>
    </row>
    <row r="233" spans="1:7" outlineLevel="1" x14ac:dyDescent="0.35">
      <c r="A233" s="145" t="s">
        <v>718</v>
      </c>
      <c r="B233" s="162" t="s">
        <v>719</v>
      </c>
      <c r="C233" s="208"/>
      <c r="D233" s="211"/>
      <c r="F233" s="207">
        <f t="shared" si="3"/>
        <v>0</v>
      </c>
      <c r="G233" s="207">
        <f t="shared" si="4"/>
        <v>0</v>
      </c>
    </row>
    <row r="234" spans="1:7" outlineLevel="1" x14ac:dyDescent="0.35">
      <c r="A234" s="145" t="s">
        <v>720</v>
      </c>
      <c r="B234" s="162"/>
      <c r="F234" s="207"/>
      <c r="G234" s="207"/>
    </row>
    <row r="235" spans="1:7" outlineLevel="1" x14ac:dyDescent="0.35">
      <c r="A235" s="145" t="s">
        <v>721</v>
      </c>
      <c r="B235" s="162"/>
      <c r="F235" s="207"/>
      <c r="G235" s="207"/>
    </row>
    <row r="236" spans="1:7" outlineLevel="1" x14ac:dyDescent="0.35">
      <c r="A236" s="145" t="s">
        <v>722</v>
      </c>
      <c r="B236" s="162"/>
      <c r="F236" s="207"/>
      <c r="G236" s="207"/>
    </row>
    <row r="237" spans="1:7" ht="15" customHeight="1" x14ac:dyDescent="0.35">
      <c r="A237" s="156"/>
      <c r="B237" s="156" t="s">
        <v>723</v>
      </c>
      <c r="C237" s="156" t="s">
        <v>656</v>
      </c>
      <c r="D237" s="156" t="s">
        <v>657</v>
      </c>
      <c r="E237" s="163"/>
      <c r="F237" s="156" t="s">
        <v>486</v>
      </c>
      <c r="G237" s="156" t="s">
        <v>658</v>
      </c>
    </row>
    <row r="238" spans="1:7" x14ac:dyDescent="0.35">
      <c r="A238" s="145" t="s">
        <v>724</v>
      </c>
      <c r="B238" s="145" t="s">
        <v>689</v>
      </c>
      <c r="C238" s="364">
        <f>AVERAGE_CURRENT_INDEXED_LTV</f>
        <v>0.47392885644310023</v>
      </c>
      <c r="F238" s="210"/>
      <c r="G238" s="210"/>
    </row>
    <row r="239" spans="1:7" x14ac:dyDescent="0.35">
      <c r="F239" s="210"/>
      <c r="G239" s="210"/>
    </row>
    <row r="240" spans="1:7" x14ac:dyDescent="0.35">
      <c r="B240" s="166" t="s">
        <v>690</v>
      </c>
      <c r="F240" s="210"/>
      <c r="G240" s="210"/>
    </row>
    <row r="241" spans="1:7" x14ac:dyDescent="0.35">
      <c r="A241" s="145" t="s">
        <v>725</v>
      </c>
      <c r="B241" s="145" t="s">
        <v>692</v>
      </c>
      <c r="C241" s="424">
        <f>CRD_PRETS__0_INDEXED_LTV_40/1000000</f>
        <v>2155.8876097900002</v>
      </c>
      <c r="D241" s="426">
        <f>NBE_PRETS__0_INDEXED_LTV_40</f>
        <v>21835</v>
      </c>
      <c r="F241" s="207">
        <f>IF($C$249=0,"",IF(C241="[Mark as ND1 if not relevant]","",C241/$C$249))</f>
        <v>0.36965570079075027</v>
      </c>
      <c r="G241" s="207">
        <f>IF($D$249=0,"",IF(D241="[Mark as ND1 if not relevant]","",D241/$D$249))</f>
        <v>0.50716558660255961</v>
      </c>
    </row>
    <row r="242" spans="1:7" x14ac:dyDescent="0.35">
      <c r="A242" s="145" t="s">
        <v>726</v>
      </c>
      <c r="B242" s="145" t="s">
        <v>694</v>
      </c>
      <c r="C242" s="424">
        <f>CRD_PRETS__40_INDEXED_LTV_50/1000000</f>
        <v>1144.8598878399998</v>
      </c>
      <c r="D242" s="426">
        <f>NBE_PRETS__40_INDEXED_LTV_50</f>
        <v>7130</v>
      </c>
      <c r="F242" s="207">
        <f t="shared" ref="F242:F248" si="5">IF($C$249=0,"",IF(C242="[Mark as ND1 if not relevant]","",C242/$C$249))</f>
        <v>0.19630150580434857</v>
      </c>
      <c r="G242" s="207">
        <f t="shared" ref="G242:G248" si="6">IF($D$249=0,"",IF(D242="[Mark as ND1 if not relevant]","",D242/$D$249))</f>
        <v>0.16560982974473323</v>
      </c>
    </row>
    <row r="243" spans="1:7" x14ac:dyDescent="0.35">
      <c r="A243" s="145" t="s">
        <v>727</v>
      </c>
      <c r="B243" s="145" t="s">
        <v>696</v>
      </c>
      <c r="C243" s="424">
        <f>CRD_PRETS__50_INDEXED_LTV_60/1000000</f>
        <v>1023.06770923</v>
      </c>
      <c r="D243" s="426">
        <f>NBE_PRETS__50_INDEXED_LTV_60</f>
        <v>5876</v>
      </c>
      <c r="F243" s="207">
        <f t="shared" si="5"/>
        <v>0.17541861147791513</v>
      </c>
      <c r="G243" s="207">
        <f t="shared" si="6"/>
        <v>0.13648293963254593</v>
      </c>
    </row>
    <row r="244" spans="1:7" x14ac:dyDescent="0.35">
      <c r="A244" s="145" t="s">
        <v>728</v>
      </c>
      <c r="B244" s="145" t="s">
        <v>698</v>
      </c>
      <c r="C244" s="424">
        <f>CRD_PRETS__60_INDEXED_LTV_70/1000000</f>
        <v>713.14312708</v>
      </c>
      <c r="D244" s="426">
        <f>NBE_PRETS__60_INDEXED_LTV_70</f>
        <v>4025</v>
      </c>
      <c r="F244" s="207">
        <f t="shared" si="5"/>
        <v>0.12227790595751084</v>
      </c>
      <c r="G244" s="207">
        <f t="shared" si="6"/>
        <v>9.3489420017188116E-2</v>
      </c>
    </row>
    <row r="245" spans="1:7" x14ac:dyDescent="0.35">
      <c r="A245" s="145" t="s">
        <v>729</v>
      </c>
      <c r="B245" s="145" t="s">
        <v>700</v>
      </c>
      <c r="C245" s="424">
        <f>CRD_PRETS__70_INDEXED_LTV_80/1000000</f>
        <v>443.98148129999998</v>
      </c>
      <c r="D245" s="426">
        <f>NBE_PRETS__70_INDEXED_LTV_80</f>
        <v>2458</v>
      </c>
      <c r="F245" s="207">
        <f t="shared" si="5"/>
        <v>7.6126549854819855E-2</v>
      </c>
      <c r="G245" s="207">
        <f t="shared" si="6"/>
        <v>5.7092420969502705E-2</v>
      </c>
    </row>
    <row r="246" spans="1:7" x14ac:dyDescent="0.35">
      <c r="A246" s="145" t="s">
        <v>730</v>
      </c>
      <c r="B246" s="145" t="s">
        <v>702</v>
      </c>
      <c r="C246" s="424">
        <f>(CRD_PRETS__80_INDEXED_LTV_85+CRD_PRETS__85_INDEXED_LTV_90)/1000000</f>
        <v>242.73216349</v>
      </c>
      <c r="D246" s="426">
        <f>NBE_PRETS__80_INDEXED_LTV_85+NBE_PRETS__85_INDEXED_LTV_90</f>
        <v>1206</v>
      </c>
      <c r="F246" s="207">
        <f t="shared" si="5"/>
        <v>4.1619668665423167E-2</v>
      </c>
      <c r="G246" s="207">
        <f t="shared" si="6"/>
        <v>2.8011985227510278E-2</v>
      </c>
    </row>
    <row r="247" spans="1:7" x14ac:dyDescent="0.35">
      <c r="A247" s="145" t="s">
        <v>731</v>
      </c>
      <c r="B247" s="145" t="s">
        <v>704</v>
      </c>
      <c r="C247" s="424">
        <f>(CRD_PRETS__90_INDEXED_LTV_95+CRD_PRETS__95_INDEXED_LTV_100)/1000000</f>
        <v>108.47833081</v>
      </c>
      <c r="D247" s="426">
        <f>NBE_PRETS__90_INDEXED_LTV_95+NBE_PRETS__95_INDEXED_LTV_100</f>
        <v>523</v>
      </c>
      <c r="F247" s="207">
        <f t="shared" si="5"/>
        <v>1.8600057449231964E-2</v>
      </c>
      <c r="G247" s="207">
        <f t="shared" si="6"/>
        <v>1.2147817805960096E-2</v>
      </c>
    </row>
    <row r="248" spans="1:7" x14ac:dyDescent="0.35">
      <c r="A248" s="145" t="s">
        <v>732</v>
      </c>
      <c r="B248" s="145" t="s">
        <v>706</v>
      </c>
      <c r="C248" s="424">
        <f>(CRD_PRETS__100_INDEXED_LTV_105+CRD_PRETS__105_INDEXED_LTV_110+CRD_PRETS__110_INDEXED_LTV_115+CRD_PRETS__115_INDEXED_LTV)/1000000</f>
        <v>0</v>
      </c>
      <c r="D248" s="426">
        <f>NBE_PRETS__100_INDEXED_LTV_105+NBE_PRETS__105_INDEXED_LTV</f>
        <v>0</v>
      </c>
      <c r="F248" s="207">
        <f t="shared" si="5"/>
        <v>0</v>
      </c>
      <c r="G248" s="207">
        <f t="shared" si="6"/>
        <v>0</v>
      </c>
    </row>
    <row r="249" spans="1:7" x14ac:dyDescent="0.35">
      <c r="A249" s="145" t="s">
        <v>733</v>
      </c>
      <c r="B249" s="175" t="s">
        <v>145</v>
      </c>
      <c r="C249" s="208">
        <f>SUM(C241:C248)</f>
        <v>5832.1503095400012</v>
      </c>
      <c r="D249" s="211">
        <f>SUM(D241:D248)</f>
        <v>43053</v>
      </c>
      <c r="F249" s="179">
        <f>SUM(F241:F248)</f>
        <v>0.99999999999999989</v>
      </c>
      <c r="G249" s="179">
        <f>SUM(G241:G248)</f>
        <v>0.99999999999999989</v>
      </c>
    </row>
    <row r="250" spans="1:7" outlineLevel="1" x14ac:dyDescent="0.35">
      <c r="A250" s="145" t="s">
        <v>734</v>
      </c>
      <c r="B250" s="162" t="s">
        <v>709</v>
      </c>
      <c r="C250" s="208"/>
      <c r="D250" s="211"/>
      <c r="F250" s="207">
        <f t="shared" ref="F250:F255" si="7">IF($C$249=0,"",IF(C250="[for completion]","",C250/$C$249))</f>
        <v>0</v>
      </c>
      <c r="G250" s="207">
        <f t="shared" ref="G250:G255" si="8">IF($D$249=0,"",IF(D250="[for completion]","",D250/$D$249))</f>
        <v>0</v>
      </c>
    </row>
    <row r="251" spans="1:7" outlineLevel="1" x14ac:dyDescent="0.35">
      <c r="A251" s="145" t="s">
        <v>735</v>
      </c>
      <c r="B251" s="162" t="s">
        <v>711</v>
      </c>
      <c r="C251" s="208"/>
      <c r="D251" s="211"/>
      <c r="F251" s="207">
        <f t="shared" si="7"/>
        <v>0</v>
      </c>
      <c r="G251" s="207">
        <f t="shared" si="8"/>
        <v>0</v>
      </c>
    </row>
    <row r="252" spans="1:7" outlineLevel="1" x14ac:dyDescent="0.35">
      <c r="A252" s="145" t="s">
        <v>736</v>
      </c>
      <c r="B252" s="162" t="s">
        <v>713</v>
      </c>
      <c r="C252" s="208"/>
      <c r="D252" s="211"/>
      <c r="F252" s="207">
        <f t="shared" si="7"/>
        <v>0</v>
      </c>
      <c r="G252" s="207">
        <f t="shared" si="8"/>
        <v>0</v>
      </c>
    </row>
    <row r="253" spans="1:7" outlineLevel="1" x14ac:dyDescent="0.35">
      <c r="A253" s="145" t="s">
        <v>737</v>
      </c>
      <c r="B253" s="162" t="s">
        <v>715</v>
      </c>
      <c r="C253" s="208"/>
      <c r="D253" s="211"/>
      <c r="F253" s="207">
        <f t="shared" si="7"/>
        <v>0</v>
      </c>
      <c r="G253" s="207">
        <f t="shared" si="8"/>
        <v>0</v>
      </c>
    </row>
    <row r="254" spans="1:7" outlineLevel="1" x14ac:dyDescent="0.35">
      <c r="A254" s="145" t="s">
        <v>738</v>
      </c>
      <c r="B254" s="162" t="s">
        <v>717</v>
      </c>
      <c r="C254" s="208"/>
      <c r="D254" s="211"/>
      <c r="F254" s="207">
        <f t="shared" si="7"/>
        <v>0</v>
      </c>
      <c r="G254" s="207">
        <f t="shared" si="8"/>
        <v>0</v>
      </c>
    </row>
    <row r="255" spans="1:7" outlineLevel="1" x14ac:dyDescent="0.35">
      <c r="A255" s="145" t="s">
        <v>739</v>
      </c>
      <c r="B255" s="162" t="s">
        <v>719</v>
      </c>
      <c r="C255" s="208"/>
      <c r="D255" s="211"/>
      <c r="F255" s="207">
        <f t="shared" si="7"/>
        <v>0</v>
      </c>
      <c r="G255" s="207">
        <f t="shared" si="8"/>
        <v>0</v>
      </c>
    </row>
    <row r="256" spans="1:7" outlineLevel="1" x14ac:dyDescent="0.35">
      <c r="A256" s="145" t="s">
        <v>740</v>
      </c>
      <c r="B256" s="162"/>
      <c r="F256" s="159"/>
      <c r="G256" s="159"/>
    </row>
    <row r="257" spans="1:14" outlineLevel="1" x14ac:dyDescent="0.35">
      <c r="A257" s="145" t="s">
        <v>741</v>
      </c>
      <c r="B257" s="162"/>
      <c r="F257" s="159"/>
      <c r="G257" s="159"/>
    </row>
    <row r="258" spans="1:14" outlineLevel="1" x14ac:dyDescent="0.35">
      <c r="A258" s="145" t="s">
        <v>742</v>
      </c>
      <c r="B258" s="162"/>
      <c r="F258" s="159"/>
      <c r="G258" s="159"/>
    </row>
    <row r="259" spans="1:14" ht="15" customHeight="1" x14ac:dyDescent="0.35">
      <c r="A259" s="156"/>
      <c r="B259" s="321" t="s">
        <v>743</v>
      </c>
      <c r="C259" s="156" t="s">
        <v>486</v>
      </c>
      <c r="D259" s="156"/>
      <c r="E259" s="163"/>
      <c r="F259" s="156"/>
      <c r="G259" s="156"/>
    </row>
    <row r="260" spans="1:14" x14ac:dyDescent="0.35">
      <c r="A260" s="145" t="s">
        <v>744</v>
      </c>
      <c r="B260" s="145" t="s">
        <v>745</v>
      </c>
      <c r="C260" s="364">
        <f>CRD_PRETS_LOAN_PURPOSE_RESIDENCE_PRINCIPALE/CRD_PRETS_SELECTION</f>
        <v>0.78223047542302215</v>
      </c>
      <c r="E260" s="161"/>
      <c r="F260" s="161"/>
      <c r="G260" s="161"/>
    </row>
    <row r="261" spans="1:14" x14ac:dyDescent="0.35">
      <c r="A261" s="145" t="s">
        <v>746</v>
      </c>
      <c r="B261" s="145" t="s">
        <v>747</v>
      </c>
      <c r="C261" s="364">
        <f>CRD_PRETS_LOAN_PURPOSE_RESIDENCE_SECONDAIRE/CRD_PRETS_SELECTION</f>
        <v>7.3634860582643666E-2</v>
      </c>
      <c r="E261" s="161"/>
      <c r="F261" s="161"/>
    </row>
    <row r="262" spans="1:14" x14ac:dyDescent="0.35">
      <c r="A262" s="145" t="s">
        <v>748</v>
      </c>
      <c r="B262" s="145" t="s">
        <v>749</v>
      </c>
      <c r="C262" s="364">
        <f>CRD_PRETS_LOAN_PURPOSE_LOCATION/CRD_PRETS_SELECTION</f>
        <v>0.14413466399433419</v>
      </c>
      <c r="E262" s="161"/>
      <c r="F262" s="161"/>
    </row>
    <row r="263" spans="1:14" s="263" customFormat="1" x14ac:dyDescent="0.35">
      <c r="A263" s="264" t="s">
        <v>750</v>
      </c>
      <c r="B263" s="264" t="s">
        <v>2210</v>
      </c>
      <c r="C263" s="364">
        <v>0</v>
      </c>
      <c r="D263" s="264"/>
      <c r="E263" s="231"/>
      <c r="F263" s="231"/>
      <c r="G263" s="262"/>
    </row>
    <row r="264" spans="1:14" x14ac:dyDescent="0.35">
      <c r="A264" s="264" t="s">
        <v>1392</v>
      </c>
      <c r="B264" s="166" t="s">
        <v>1384</v>
      </c>
      <c r="C264" s="364">
        <v>0</v>
      </c>
      <c r="D264" s="172"/>
      <c r="E264" s="172"/>
      <c r="F264" s="173"/>
      <c r="G264" s="173"/>
      <c r="H264" s="141"/>
      <c r="I264" s="145"/>
      <c r="J264" s="145"/>
      <c r="K264" s="145"/>
      <c r="L264" s="141"/>
      <c r="M264" s="141"/>
      <c r="N264" s="141"/>
    </row>
    <row r="265" spans="1:14" x14ac:dyDescent="0.35">
      <c r="A265" s="264" t="s">
        <v>2211</v>
      </c>
      <c r="B265" s="145" t="s">
        <v>143</v>
      </c>
      <c r="C265" s="364">
        <f>CRD_PRETS_LOAN_PURPOSE_AUTRE/CRD_PRETS_SELECTION</f>
        <v>0</v>
      </c>
      <c r="E265" s="161"/>
      <c r="F265" s="161"/>
    </row>
    <row r="266" spans="1:14" outlineLevel="1" x14ac:dyDescent="0.35">
      <c r="A266" s="145" t="s">
        <v>751</v>
      </c>
      <c r="B266" s="162" t="s">
        <v>753</v>
      </c>
      <c r="C266" s="215"/>
      <c r="E266" s="161"/>
      <c r="F266" s="161"/>
    </row>
    <row r="267" spans="1:14" outlineLevel="1" x14ac:dyDescent="0.35">
      <c r="A267" s="264" t="s">
        <v>752</v>
      </c>
      <c r="B267" s="162" t="s">
        <v>755</v>
      </c>
      <c r="C267" s="179"/>
      <c r="E267" s="161"/>
      <c r="F267" s="161"/>
    </row>
    <row r="268" spans="1:14" outlineLevel="1" x14ac:dyDescent="0.35">
      <c r="A268" s="264" t="s">
        <v>754</v>
      </c>
      <c r="B268" s="162" t="s">
        <v>757</v>
      </c>
      <c r="C268" s="179"/>
      <c r="E268" s="161"/>
      <c r="F268" s="161"/>
    </row>
    <row r="269" spans="1:14" outlineLevel="1" x14ac:dyDescent="0.35">
      <c r="A269" s="264" t="s">
        <v>756</v>
      </c>
      <c r="B269" s="162" t="s">
        <v>759</v>
      </c>
      <c r="C269" s="179"/>
      <c r="E269" s="161"/>
      <c r="F269" s="161"/>
    </row>
    <row r="270" spans="1:14" outlineLevel="1" x14ac:dyDescent="0.35">
      <c r="A270" s="264" t="s">
        <v>758</v>
      </c>
      <c r="B270" s="162" t="s">
        <v>147</v>
      </c>
      <c r="C270" s="179"/>
      <c r="E270" s="161"/>
      <c r="F270" s="161"/>
    </row>
    <row r="271" spans="1:14" outlineLevel="1" x14ac:dyDescent="0.35">
      <c r="A271" s="264" t="s">
        <v>760</v>
      </c>
      <c r="B271" s="162" t="s">
        <v>147</v>
      </c>
      <c r="C271" s="179"/>
      <c r="E271" s="161"/>
      <c r="F271" s="161"/>
    </row>
    <row r="272" spans="1:14" outlineLevel="1" x14ac:dyDescent="0.35">
      <c r="A272" s="264" t="s">
        <v>761</v>
      </c>
      <c r="B272" s="162" t="s">
        <v>147</v>
      </c>
      <c r="C272" s="179"/>
      <c r="E272" s="161"/>
      <c r="F272" s="161"/>
    </row>
    <row r="273" spans="1:7" outlineLevel="1" x14ac:dyDescent="0.35">
      <c r="A273" s="264" t="s">
        <v>762</v>
      </c>
      <c r="B273" s="162" t="s">
        <v>147</v>
      </c>
      <c r="C273" s="179"/>
      <c r="E273" s="161"/>
      <c r="F273" s="161"/>
    </row>
    <row r="274" spans="1:7" outlineLevel="1" x14ac:dyDescent="0.35">
      <c r="A274" s="264" t="s">
        <v>763</v>
      </c>
      <c r="B274" s="162" t="s">
        <v>147</v>
      </c>
      <c r="C274" s="179"/>
      <c r="E274" s="161"/>
      <c r="F274" s="161"/>
    </row>
    <row r="275" spans="1:7" outlineLevel="1" x14ac:dyDescent="0.35">
      <c r="A275" s="264" t="s">
        <v>764</v>
      </c>
      <c r="B275" s="162" t="s">
        <v>147</v>
      </c>
      <c r="C275" s="179"/>
      <c r="E275" s="161"/>
      <c r="F275" s="161"/>
    </row>
    <row r="276" spans="1:7" ht="15" customHeight="1" x14ac:dyDescent="0.35">
      <c r="A276" s="156"/>
      <c r="B276" s="321" t="s">
        <v>765</v>
      </c>
      <c r="C276" s="156" t="s">
        <v>486</v>
      </c>
      <c r="D276" s="156"/>
      <c r="E276" s="163"/>
      <c r="F276" s="156"/>
      <c r="G276" s="158"/>
    </row>
    <row r="277" spans="1:7" x14ac:dyDescent="0.35">
      <c r="A277" s="145" t="s">
        <v>7</v>
      </c>
      <c r="B277" s="145" t="s">
        <v>1385</v>
      </c>
      <c r="C277" s="364">
        <f>CRD_PRETS__GARANTIE_HYPOTHEQUE/CRD_PRETS_SELECTION</f>
        <v>0</v>
      </c>
      <c r="E277" s="141"/>
      <c r="F277" s="141"/>
    </row>
    <row r="278" spans="1:7" x14ac:dyDescent="0.35">
      <c r="A278" s="145" t="s">
        <v>766</v>
      </c>
      <c r="B278" s="145" t="s">
        <v>767</v>
      </c>
      <c r="C278" s="364">
        <f>CRD_PRETS__GARANTIE_CREDIT_LOGEMENT/CRD_PRETS_SELECTION</f>
        <v>1</v>
      </c>
      <c r="E278" s="141"/>
      <c r="F278" s="141"/>
    </row>
    <row r="279" spans="1:7" x14ac:dyDescent="0.35">
      <c r="A279" s="145" t="s">
        <v>768</v>
      </c>
      <c r="B279" s="145" t="s">
        <v>143</v>
      </c>
      <c r="C279" s="364">
        <v>0</v>
      </c>
      <c r="E279" s="141"/>
      <c r="F279" s="141"/>
    </row>
    <row r="280" spans="1:7" outlineLevel="1" x14ac:dyDescent="0.35">
      <c r="A280" s="145" t="s">
        <v>769</v>
      </c>
      <c r="C280" s="179"/>
      <c r="E280" s="141"/>
      <c r="F280" s="141"/>
    </row>
    <row r="281" spans="1:7" outlineLevel="1" x14ac:dyDescent="0.35">
      <c r="A281" s="145" t="s">
        <v>770</v>
      </c>
      <c r="C281" s="179"/>
      <c r="E281" s="141"/>
      <c r="F281" s="141"/>
    </row>
    <row r="282" spans="1:7" outlineLevel="1" x14ac:dyDescent="0.35">
      <c r="A282" s="145" t="s">
        <v>771</v>
      </c>
      <c r="C282" s="179"/>
      <c r="E282" s="141"/>
      <c r="F282" s="141"/>
    </row>
    <row r="283" spans="1:7" outlineLevel="1" x14ac:dyDescent="0.35">
      <c r="A283" s="145" t="s">
        <v>772</v>
      </c>
      <c r="C283" s="179"/>
      <c r="E283" s="141"/>
      <c r="F283" s="141"/>
    </row>
    <row r="284" spans="1:7" outlineLevel="1" x14ac:dyDescent="0.35">
      <c r="A284" s="145" t="s">
        <v>773</v>
      </c>
      <c r="C284" s="179"/>
      <c r="E284" s="141"/>
      <c r="F284" s="141"/>
    </row>
    <row r="285" spans="1:7" outlineLevel="1" x14ac:dyDescent="0.35">
      <c r="A285" s="145" t="s">
        <v>774</v>
      </c>
      <c r="C285" s="179"/>
      <c r="E285" s="141"/>
      <c r="F285" s="141"/>
    </row>
    <row r="286" spans="1:7" s="216" customFormat="1" x14ac:dyDescent="0.35">
      <c r="A286" s="157"/>
      <c r="B286" s="157" t="s">
        <v>2299</v>
      </c>
      <c r="C286" s="157" t="s">
        <v>112</v>
      </c>
      <c r="D286" s="157" t="s">
        <v>1643</v>
      </c>
      <c r="E286" s="157"/>
      <c r="F286" s="157" t="s">
        <v>486</v>
      </c>
      <c r="G286" s="157" t="s">
        <v>1902</v>
      </c>
    </row>
    <row r="287" spans="1:7" s="216" customFormat="1" x14ac:dyDescent="0.35">
      <c r="A287" s="329" t="s">
        <v>1982</v>
      </c>
      <c r="B287" s="252" t="s">
        <v>579</v>
      </c>
      <c r="C287" s="245" t="s">
        <v>82</v>
      </c>
      <c r="D287" s="251" t="s">
        <v>82</v>
      </c>
      <c r="E287" s="253"/>
      <c r="F287" s="244" t="str">
        <f>IF($C$305=0,"",IF(C287="[For completion]","",C287/$C$305))</f>
        <v/>
      </c>
      <c r="G287" s="244" t="str">
        <f>IF($D$305=0,"",IF(D287="[For completion]","",D287/$D$305))</f>
        <v/>
      </c>
    </row>
    <row r="288" spans="1:7" s="216" customFormat="1" x14ac:dyDescent="0.35">
      <c r="A288" s="329" t="s">
        <v>1983</v>
      </c>
      <c r="B288" s="252" t="s">
        <v>579</v>
      </c>
      <c r="C288" s="245" t="s">
        <v>82</v>
      </c>
      <c r="D288" s="251" t="s">
        <v>82</v>
      </c>
      <c r="E288" s="253"/>
      <c r="F288" s="244" t="str">
        <f t="shared" ref="F288:F304" si="9">IF($C$305=0,"",IF(C288="[For completion]","",C288/$C$305))</f>
        <v/>
      </c>
      <c r="G288" s="244" t="str">
        <f t="shared" ref="G288:G304" si="10">IF($D$305=0,"",IF(D288="[For completion]","",D288/$D$305))</f>
        <v/>
      </c>
    </row>
    <row r="289" spans="1:7" s="216" customFormat="1" x14ac:dyDescent="0.35">
      <c r="A289" s="329" t="s">
        <v>1984</v>
      </c>
      <c r="B289" s="252" t="s">
        <v>579</v>
      </c>
      <c r="C289" s="245" t="s">
        <v>82</v>
      </c>
      <c r="D289" s="251" t="s">
        <v>82</v>
      </c>
      <c r="E289" s="253"/>
      <c r="F289" s="244" t="str">
        <f t="shared" si="9"/>
        <v/>
      </c>
      <c r="G289" s="244" t="str">
        <f t="shared" si="10"/>
        <v/>
      </c>
    </row>
    <row r="290" spans="1:7" s="216" customFormat="1" x14ac:dyDescent="0.35">
      <c r="A290" s="329" t="s">
        <v>1985</v>
      </c>
      <c r="B290" s="252" t="s">
        <v>579</v>
      </c>
      <c r="C290" s="245" t="s">
        <v>82</v>
      </c>
      <c r="D290" s="251" t="s">
        <v>82</v>
      </c>
      <c r="E290" s="253"/>
      <c r="F290" s="244" t="str">
        <f t="shared" si="9"/>
        <v/>
      </c>
      <c r="G290" s="244" t="str">
        <f t="shared" si="10"/>
        <v/>
      </c>
    </row>
    <row r="291" spans="1:7" s="216" customFormat="1" x14ac:dyDescent="0.35">
      <c r="A291" s="329" t="s">
        <v>1986</v>
      </c>
      <c r="B291" s="252" t="s">
        <v>579</v>
      </c>
      <c r="C291" s="245" t="s">
        <v>82</v>
      </c>
      <c r="D291" s="251" t="s">
        <v>82</v>
      </c>
      <c r="E291" s="253"/>
      <c r="F291" s="244" t="str">
        <f t="shared" si="9"/>
        <v/>
      </c>
      <c r="G291" s="244" t="str">
        <f t="shared" si="10"/>
        <v/>
      </c>
    </row>
    <row r="292" spans="1:7" s="216" customFormat="1" x14ac:dyDescent="0.35">
      <c r="A292" s="329" t="s">
        <v>1987</v>
      </c>
      <c r="B292" s="252" t="s">
        <v>579</v>
      </c>
      <c r="C292" s="245" t="s">
        <v>82</v>
      </c>
      <c r="D292" s="251" t="s">
        <v>82</v>
      </c>
      <c r="E292" s="253"/>
      <c r="F292" s="244" t="str">
        <f t="shared" si="9"/>
        <v/>
      </c>
      <c r="G292" s="244" t="str">
        <f t="shared" si="10"/>
        <v/>
      </c>
    </row>
    <row r="293" spans="1:7" s="216" customFormat="1" x14ac:dyDescent="0.35">
      <c r="A293" s="329" t="s">
        <v>1988</v>
      </c>
      <c r="B293" s="252" t="s">
        <v>579</v>
      </c>
      <c r="C293" s="245" t="s">
        <v>82</v>
      </c>
      <c r="D293" s="251" t="s">
        <v>82</v>
      </c>
      <c r="E293" s="253"/>
      <c r="F293" s="244" t="str">
        <f t="shared" si="9"/>
        <v/>
      </c>
      <c r="G293" s="244" t="str">
        <f t="shared" si="10"/>
        <v/>
      </c>
    </row>
    <row r="294" spans="1:7" s="216" customFormat="1" x14ac:dyDescent="0.35">
      <c r="A294" s="329" t="s">
        <v>1989</v>
      </c>
      <c r="B294" s="252" t="s">
        <v>579</v>
      </c>
      <c r="C294" s="245" t="s">
        <v>82</v>
      </c>
      <c r="D294" s="251" t="s">
        <v>82</v>
      </c>
      <c r="E294" s="253"/>
      <c r="F294" s="244" t="str">
        <f t="shared" si="9"/>
        <v/>
      </c>
      <c r="G294" s="244" t="str">
        <f t="shared" si="10"/>
        <v/>
      </c>
    </row>
    <row r="295" spans="1:7" s="216" customFormat="1" x14ac:dyDescent="0.35">
      <c r="A295" s="329" t="s">
        <v>1990</v>
      </c>
      <c r="B295" s="270" t="s">
        <v>579</v>
      </c>
      <c r="C295" s="245" t="s">
        <v>82</v>
      </c>
      <c r="D295" s="251" t="s">
        <v>82</v>
      </c>
      <c r="E295" s="253"/>
      <c r="F295" s="244" t="str">
        <f t="shared" si="9"/>
        <v/>
      </c>
      <c r="G295" s="244" t="str">
        <f t="shared" si="10"/>
        <v/>
      </c>
    </row>
    <row r="296" spans="1:7" s="216" customFormat="1" x14ac:dyDescent="0.35">
      <c r="A296" s="329" t="s">
        <v>1991</v>
      </c>
      <c r="B296" s="252" t="s">
        <v>579</v>
      </c>
      <c r="C296" s="245" t="s">
        <v>82</v>
      </c>
      <c r="D296" s="251" t="s">
        <v>82</v>
      </c>
      <c r="E296" s="253"/>
      <c r="F296" s="244" t="str">
        <f t="shared" si="9"/>
        <v/>
      </c>
      <c r="G296" s="244" t="str">
        <f t="shared" si="10"/>
        <v/>
      </c>
    </row>
    <row r="297" spans="1:7" s="216" customFormat="1" x14ac:dyDescent="0.35">
      <c r="A297" s="329" t="s">
        <v>1992</v>
      </c>
      <c r="B297" s="252" t="s">
        <v>579</v>
      </c>
      <c r="C297" s="245" t="s">
        <v>82</v>
      </c>
      <c r="D297" s="251" t="s">
        <v>82</v>
      </c>
      <c r="E297" s="253"/>
      <c r="F297" s="244" t="str">
        <f t="shared" si="9"/>
        <v/>
      </c>
      <c r="G297" s="244" t="str">
        <f t="shared" si="10"/>
        <v/>
      </c>
    </row>
    <row r="298" spans="1:7" s="216" customFormat="1" x14ac:dyDescent="0.35">
      <c r="A298" s="329" t="s">
        <v>1993</v>
      </c>
      <c r="B298" s="252" t="s">
        <v>579</v>
      </c>
      <c r="C298" s="245" t="s">
        <v>82</v>
      </c>
      <c r="D298" s="251" t="s">
        <v>82</v>
      </c>
      <c r="E298" s="253"/>
      <c r="F298" s="244" t="str">
        <f t="shared" si="9"/>
        <v/>
      </c>
      <c r="G298" s="244" t="str">
        <f t="shared" si="10"/>
        <v/>
      </c>
    </row>
    <row r="299" spans="1:7" s="216" customFormat="1" x14ac:dyDescent="0.35">
      <c r="A299" s="329" t="s">
        <v>1994</v>
      </c>
      <c r="B299" s="252" t="s">
        <v>579</v>
      </c>
      <c r="C299" s="245" t="s">
        <v>82</v>
      </c>
      <c r="D299" s="251" t="s">
        <v>82</v>
      </c>
      <c r="E299" s="253"/>
      <c r="F299" s="244" t="str">
        <f t="shared" si="9"/>
        <v/>
      </c>
      <c r="G299" s="244" t="str">
        <f t="shared" si="10"/>
        <v/>
      </c>
    </row>
    <row r="300" spans="1:7" s="216" customFormat="1" x14ac:dyDescent="0.35">
      <c r="A300" s="329" t="s">
        <v>1995</v>
      </c>
      <c r="B300" s="252" t="s">
        <v>579</v>
      </c>
      <c r="C300" s="245" t="s">
        <v>82</v>
      </c>
      <c r="D300" s="251" t="s">
        <v>82</v>
      </c>
      <c r="E300" s="253"/>
      <c r="F300" s="244" t="str">
        <f t="shared" si="9"/>
        <v/>
      </c>
      <c r="G300" s="244" t="str">
        <f t="shared" si="10"/>
        <v/>
      </c>
    </row>
    <row r="301" spans="1:7" s="216" customFormat="1" x14ac:dyDescent="0.35">
      <c r="A301" s="329" t="s">
        <v>1996</v>
      </c>
      <c r="B301" s="252" t="s">
        <v>579</v>
      </c>
      <c r="C301" s="245" t="s">
        <v>82</v>
      </c>
      <c r="D301" s="251" t="s">
        <v>82</v>
      </c>
      <c r="E301" s="253"/>
      <c r="F301" s="244" t="str">
        <f t="shared" si="9"/>
        <v/>
      </c>
      <c r="G301" s="244" t="str">
        <f t="shared" si="10"/>
        <v/>
      </c>
    </row>
    <row r="302" spans="1:7" s="216" customFormat="1" x14ac:dyDescent="0.35">
      <c r="A302" s="329" t="s">
        <v>1997</v>
      </c>
      <c r="B302" s="252" t="s">
        <v>579</v>
      </c>
      <c r="C302" s="245" t="s">
        <v>82</v>
      </c>
      <c r="D302" s="251" t="s">
        <v>82</v>
      </c>
      <c r="E302" s="253"/>
      <c r="F302" s="244" t="str">
        <f t="shared" si="9"/>
        <v/>
      </c>
      <c r="G302" s="244" t="str">
        <f t="shared" si="10"/>
        <v/>
      </c>
    </row>
    <row r="303" spans="1:7" s="216" customFormat="1" x14ac:dyDescent="0.35">
      <c r="A303" s="329" t="s">
        <v>1998</v>
      </c>
      <c r="B303" s="252" t="s">
        <v>579</v>
      </c>
      <c r="C303" s="245" t="s">
        <v>82</v>
      </c>
      <c r="D303" s="251" t="s">
        <v>82</v>
      </c>
      <c r="E303" s="253"/>
      <c r="F303" s="244" t="str">
        <f t="shared" si="9"/>
        <v/>
      </c>
      <c r="G303" s="244" t="str">
        <f t="shared" si="10"/>
        <v/>
      </c>
    </row>
    <row r="304" spans="1:7" s="216" customFormat="1" x14ac:dyDescent="0.35">
      <c r="A304" s="329" t="s">
        <v>1999</v>
      </c>
      <c r="B304" s="252" t="s">
        <v>2037</v>
      </c>
      <c r="C304" s="245" t="s">
        <v>82</v>
      </c>
      <c r="D304" s="251" t="s">
        <v>82</v>
      </c>
      <c r="E304" s="253"/>
      <c r="F304" s="244" t="str">
        <f t="shared" si="9"/>
        <v/>
      </c>
      <c r="G304" s="244" t="str">
        <f t="shared" si="10"/>
        <v/>
      </c>
    </row>
    <row r="305" spans="1:7" s="216" customFormat="1" x14ac:dyDescent="0.35">
      <c r="A305" s="329" t="s">
        <v>2000</v>
      </c>
      <c r="B305" s="252" t="s">
        <v>145</v>
      </c>
      <c r="C305" s="245">
        <f>SUM(C287:C304)</f>
        <v>0</v>
      </c>
      <c r="D305" s="251">
        <f>SUM(D287:D304)</f>
        <v>0</v>
      </c>
      <c r="E305" s="253"/>
      <c r="F305" s="296">
        <f>SUM(F287:F304)</f>
        <v>0</v>
      </c>
      <c r="G305" s="296">
        <f>SUM(G287:G304)</f>
        <v>0</v>
      </c>
    </row>
    <row r="306" spans="1:7" s="216" customFormat="1" x14ac:dyDescent="0.35">
      <c r="A306" s="329" t="s">
        <v>2001</v>
      </c>
      <c r="B306" s="252"/>
      <c r="C306" s="251"/>
      <c r="D306" s="251"/>
      <c r="E306" s="253"/>
      <c r="F306" s="253"/>
      <c r="G306" s="253"/>
    </row>
    <row r="307" spans="1:7" s="216" customFormat="1" x14ac:dyDescent="0.35">
      <c r="A307" s="329" t="s">
        <v>2002</v>
      </c>
      <c r="B307" s="252"/>
      <c r="C307" s="251"/>
      <c r="D307" s="251"/>
      <c r="E307" s="253"/>
      <c r="F307" s="253"/>
      <c r="G307" s="253"/>
    </row>
    <row r="308" spans="1:7" s="216" customFormat="1" x14ac:dyDescent="0.35">
      <c r="A308" s="329" t="s">
        <v>2003</v>
      </c>
      <c r="B308" s="252"/>
      <c r="C308" s="251"/>
      <c r="D308" s="251"/>
      <c r="E308" s="253"/>
      <c r="F308" s="253"/>
      <c r="G308" s="253"/>
    </row>
    <row r="309" spans="1:7" s="258" customFormat="1" x14ac:dyDescent="0.35">
      <c r="A309" s="157"/>
      <c r="B309" s="157" t="s">
        <v>2337</v>
      </c>
      <c r="C309" s="157" t="s">
        <v>112</v>
      </c>
      <c r="D309" s="157" t="s">
        <v>1643</v>
      </c>
      <c r="E309" s="157"/>
      <c r="F309" s="157" t="s">
        <v>486</v>
      </c>
      <c r="G309" s="157" t="s">
        <v>1902</v>
      </c>
    </row>
    <row r="310" spans="1:7" s="258" customFormat="1" x14ac:dyDescent="0.35">
      <c r="A310" s="329" t="s">
        <v>2004</v>
      </c>
      <c r="B310" s="270" t="s">
        <v>579</v>
      </c>
      <c r="C310" s="245" t="s">
        <v>82</v>
      </c>
      <c r="D310" s="268" t="s">
        <v>82</v>
      </c>
      <c r="E310" s="271"/>
      <c r="F310" s="244" t="str">
        <f>IF($C$328=0,"",IF(C310="[For completion]","",C310/$C$328))</f>
        <v/>
      </c>
      <c r="G310" s="244" t="str">
        <f>IF($D$328=0,"",IF(D310="[For completion]","",D310/$D$328))</f>
        <v/>
      </c>
    </row>
    <row r="311" spans="1:7" s="258" customFormat="1" x14ac:dyDescent="0.35">
      <c r="A311" s="329" t="s">
        <v>2005</v>
      </c>
      <c r="B311" s="270" t="s">
        <v>579</v>
      </c>
      <c r="C311" s="245" t="s">
        <v>82</v>
      </c>
      <c r="D311" s="268" t="s">
        <v>82</v>
      </c>
      <c r="E311" s="271"/>
      <c r="F311" s="365" t="str">
        <f t="shared" ref="F311:F327" si="11">IF($C$328=0,"",IF(C311="[For completion]","",C311/$C$328))</f>
        <v/>
      </c>
      <c r="G311" s="365" t="str">
        <f t="shared" ref="G311:G327" si="12">IF($D$328=0,"",IF(D311="[For completion]","",D311/$D$328))</f>
        <v/>
      </c>
    </row>
    <row r="312" spans="1:7" s="258" customFormat="1" x14ac:dyDescent="0.35">
      <c r="A312" s="329" t="s">
        <v>2006</v>
      </c>
      <c r="B312" s="270" t="s">
        <v>579</v>
      </c>
      <c r="C312" s="245" t="s">
        <v>82</v>
      </c>
      <c r="D312" s="268" t="s">
        <v>82</v>
      </c>
      <c r="E312" s="271"/>
      <c r="F312" s="365" t="str">
        <f t="shared" si="11"/>
        <v/>
      </c>
      <c r="G312" s="365" t="str">
        <f t="shared" si="12"/>
        <v/>
      </c>
    </row>
    <row r="313" spans="1:7" s="258" customFormat="1" x14ac:dyDescent="0.35">
      <c r="A313" s="329" t="s">
        <v>2007</v>
      </c>
      <c r="B313" s="270" t="s">
        <v>579</v>
      </c>
      <c r="C313" s="245" t="s">
        <v>82</v>
      </c>
      <c r="D313" s="268" t="s">
        <v>82</v>
      </c>
      <c r="E313" s="271"/>
      <c r="F313" s="365" t="str">
        <f t="shared" si="11"/>
        <v/>
      </c>
      <c r="G313" s="365" t="str">
        <f t="shared" si="12"/>
        <v/>
      </c>
    </row>
    <row r="314" spans="1:7" s="258" customFormat="1" x14ac:dyDescent="0.35">
      <c r="A314" s="329" t="s">
        <v>2008</v>
      </c>
      <c r="B314" s="270" t="s">
        <v>579</v>
      </c>
      <c r="C314" s="245" t="s">
        <v>82</v>
      </c>
      <c r="D314" s="268" t="s">
        <v>82</v>
      </c>
      <c r="E314" s="271"/>
      <c r="F314" s="365" t="str">
        <f t="shared" si="11"/>
        <v/>
      </c>
      <c r="G314" s="365" t="str">
        <f t="shared" si="12"/>
        <v/>
      </c>
    </row>
    <row r="315" spans="1:7" s="258" customFormat="1" x14ac:dyDescent="0.35">
      <c r="A315" s="329" t="s">
        <v>2009</v>
      </c>
      <c r="B315" s="270" t="s">
        <v>579</v>
      </c>
      <c r="C315" s="245" t="s">
        <v>82</v>
      </c>
      <c r="D315" s="268" t="s">
        <v>82</v>
      </c>
      <c r="E315" s="271"/>
      <c r="F315" s="365" t="str">
        <f t="shared" si="11"/>
        <v/>
      </c>
      <c r="G315" s="365" t="str">
        <f t="shared" si="12"/>
        <v/>
      </c>
    </row>
    <row r="316" spans="1:7" s="258" customFormat="1" x14ac:dyDescent="0.35">
      <c r="A316" s="329" t="s">
        <v>2010</v>
      </c>
      <c r="B316" s="270" t="s">
        <v>579</v>
      </c>
      <c r="C316" s="245" t="s">
        <v>82</v>
      </c>
      <c r="D316" s="268" t="s">
        <v>82</v>
      </c>
      <c r="E316" s="271"/>
      <c r="F316" s="365" t="str">
        <f t="shared" si="11"/>
        <v/>
      </c>
      <c r="G316" s="365" t="str">
        <f t="shared" si="12"/>
        <v/>
      </c>
    </row>
    <row r="317" spans="1:7" s="258" customFormat="1" x14ac:dyDescent="0.35">
      <c r="A317" s="329" t="s">
        <v>2011</v>
      </c>
      <c r="B317" s="270" t="s">
        <v>579</v>
      </c>
      <c r="C317" s="245" t="s">
        <v>82</v>
      </c>
      <c r="D317" s="268" t="s">
        <v>82</v>
      </c>
      <c r="E317" s="271"/>
      <c r="F317" s="365" t="str">
        <f t="shared" si="11"/>
        <v/>
      </c>
      <c r="G317" s="365" t="str">
        <f t="shared" si="12"/>
        <v/>
      </c>
    </row>
    <row r="318" spans="1:7" s="258" customFormat="1" x14ac:dyDescent="0.35">
      <c r="A318" s="329" t="s">
        <v>2012</v>
      </c>
      <c r="B318" s="270" t="s">
        <v>579</v>
      </c>
      <c r="C318" s="245" t="s">
        <v>82</v>
      </c>
      <c r="D318" s="268" t="s">
        <v>82</v>
      </c>
      <c r="E318" s="271"/>
      <c r="F318" s="365" t="str">
        <f t="shared" si="11"/>
        <v/>
      </c>
      <c r="G318" s="365" t="str">
        <f t="shared" si="12"/>
        <v/>
      </c>
    </row>
    <row r="319" spans="1:7" s="258" customFormat="1" x14ac:dyDescent="0.35">
      <c r="A319" s="329" t="s">
        <v>2013</v>
      </c>
      <c r="B319" s="270" t="s">
        <v>579</v>
      </c>
      <c r="C319" s="245" t="s">
        <v>82</v>
      </c>
      <c r="D319" s="268" t="s">
        <v>82</v>
      </c>
      <c r="E319" s="271"/>
      <c r="F319" s="365" t="str">
        <f t="shared" si="11"/>
        <v/>
      </c>
      <c r="G319" s="365" t="str">
        <f t="shared" si="12"/>
        <v/>
      </c>
    </row>
    <row r="320" spans="1:7" s="258" customFormat="1" x14ac:dyDescent="0.35">
      <c r="A320" s="329" t="s">
        <v>2114</v>
      </c>
      <c r="B320" s="270" t="s">
        <v>579</v>
      </c>
      <c r="C320" s="245" t="s">
        <v>82</v>
      </c>
      <c r="D320" s="268" t="s">
        <v>82</v>
      </c>
      <c r="E320" s="271"/>
      <c r="F320" s="365" t="str">
        <f t="shared" si="11"/>
        <v/>
      </c>
      <c r="G320" s="365" t="str">
        <f t="shared" si="12"/>
        <v/>
      </c>
    </row>
    <row r="321" spans="1:7" s="258" customFormat="1" x14ac:dyDescent="0.35">
      <c r="A321" s="329" t="s">
        <v>2156</v>
      </c>
      <c r="B321" s="270" t="s">
        <v>579</v>
      </c>
      <c r="C321" s="245" t="s">
        <v>82</v>
      </c>
      <c r="D321" s="268" t="s">
        <v>82</v>
      </c>
      <c r="E321" s="271"/>
      <c r="F321" s="365" t="str">
        <f>IF($C$328=0,"",IF(C321="[For completion]","",C321/$C$328))</f>
        <v/>
      </c>
      <c r="G321" s="365" t="str">
        <f t="shared" si="12"/>
        <v/>
      </c>
    </row>
    <row r="322" spans="1:7" s="258" customFormat="1" x14ac:dyDescent="0.35">
      <c r="A322" s="329" t="s">
        <v>2157</v>
      </c>
      <c r="B322" s="270" t="s">
        <v>579</v>
      </c>
      <c r="C322" s="245" t="s">
        <v>82</v>
      </c>
      <c r="D322" s="268" t="s">
        <v>82</v>
      </c>
      <c r="E322" s="271"/>
      <c r="F322" s="365" t="str">
        <f t="shared" si="11"/>
        <v/>
      </c>
      <c r="G322" s="365" t="str">
        <f t="shared" si="12"/>
        <v/>
      </c>
    </row>
    <row r="323" spans="1:7" s="258" customFormat="1" x14ac:dyDescent="0.35">
      <c r="A323" s="329" t="s">
        <v>2158</v>
      </c>
      <c r="B323" s="270" t="s">
        <v>579</v>
      </c>
      <c r="C323" s="245" t="s">
        <v>82</v>
      </c>
      <c r="D323" s="268" t="s">
        <v>82</v>
      </c>
      <c r="E323" s="271"/>
      <c r="F323" s="365" t="str">
        <f t="shared" si="11"/>
        <v/>
      </c>
      <c r="G323" s="365" t="str">
        <f t="shared" si="12"/>
        <v/>
      </c>
    </row>
    <row r="324" spans="1:7" s="258" customFormat="1" x14ac:dyDescent="0.35">
      <c r="A324" s="329" t="s">
        <v>2159</v>
      </c>
      <c r="B324" s="270" t="s">
        <v>579</v>
      </c>
      <c r="C324" s="245" t="s">
        <v>82</v>
      </c>
      <c r="D324" s="268" t="s">
        <v>82</v>
      </c>
      <c r="E324" s="271"/>
      <c r="F324" s="365" t="str">
        <f t="shared" si="11"/>
        <v/>
      </c>
      <c r="G324" s="365" t="str">
        <f t="shared" si="12"/>
        <v/>
      </c>
    </row>
    <row r="325" spans="1:7" s="258" customFormat="1" x14ac:dyDescent="0.35">
      <c r="A325" s="329" t="s">
        <v>2160</v>
      </c>
      <c r="B325" s="270" t="s">
        <v>579</v>
      </c>
      <c r="C325" s="245" t="s">
        <v>82</v>
      </c>
      <c r="D325" s="268" t="s">
        <v>82</v>
      </c>
      <c r="E325" s="271"/>
      <c r="F325" s="365" t="str">
        <f t="shared" si="11"/>
        <v/>
      </c>
      <c r="G325" s="365" t="str">
        <f t="shared" si="12"/>
        <v/>
      </c>
    </row>
    <row r="326" spans="1:7" s="258" customFormat="1" x14ac:dyDescent="0.35">
      <c r="A326" s="329" t="s">
        <v>2161</v>
      </c>
      <c r="B326" s="270" t="s">
        <v>579</v>
      </c>
      <c r="C326" s="245" t="s">
        <v>82</v>
      </c>
      <c r="D326" s="268" t="s">
        <v>82</v>
      </c>
      <c r="E326" s="271"/>
      <c r="F326" s="365" t="str">
        <f t="shared" si="11"/>
        <v/>
      </c>
      <c r="G326" s="365" t="str">
        <f t="shared" si="12"/>
        <v/>
      </c>
    </row>
    <row r="327" spans="1:7" s="258" customFormat="1" x14ac:dyDescent="0.35">
      <c r="A327" s="329" t="s">
        <v>2162</v>
      </c>
      <c r="B327" s="270" t="s">
        <v>2037</v>
      </c>
      <c r="C327" s="245" t="s">
        <v>82</v>
      </c>
      <c r="D327" s="268" t="s">
        <v>82</v>
      </c>
      <c r="E327" s="271"/>
      <c r="F327" s="365" t="str">
        <f t="shared" si="11"/>
        <v/>
      </c>
      <c r="G327" s="365" t="str">
        <f t="shared" si="12"/>
        <v/>
      </c>
    </row>
    <row r="328" spans="1:7" s="258" customFormat="1" x14ac:dyDescent="0.35">
      <c r="A328" s="329" t="s">
        <v>2163</v>
      </c>
      <c r="B328" s="270" t="s">
        <v>145</v>
      </c>
      <c r="C328" s="245">
        <f>SUM(C310:C327)</f>
        <v>0</v>
      </c>
      <c r="D328" s="268">
        <f>SUM(D310:D327)</f>
        <v>0</v>
      </c>
      <c r="E328" s="271"/>
      <c r="F328" s="296">
        <f>SUM(F310:F327)</f>
        <v>0</v>
      </c>
      <c r="G328" s="296">
        <f>SUM(G310:G327)</f>
        <v>0</v>
      </c>
    </row>
    <row r="329" spans="1:7" s="258" customFormat="1" x14ac:dyDescent="0.35">
      <c r="A329" s="329" t="s">
        <v>2014</v>
      </c>
      <c r="B329" s="270"/>
      <c r="C329" s="268"/>
      <c r="D329" s="268"/>
      <c r="E329" s="271"/>
      <c r="F329" s="271"/>
      <c r="G329" s="271"/>
    </row>
    <row r="330" spans="1:7" s="258" customFormat="1" x14ac:dyDescent="0.35">
      <c r="A330" s="329" t="s">
        <v>2164</v>
      </c>
      <c r="B330" s="270"/>
      <c r="C330" s="268"/>
      <c r="D330" s="268"/>
      <c r="E330" s="271"/>
      <c r="F330" s="271"/>
      <c r="G330" s="271"/>
    </row>
    <row r="331" spans="1:7" s="258" customFormat="1" x14ac:dyDescent="0.35">
      <c r="A331" s="329" t="s">
        <v>2165</v>
      </c>
      <c r="B331" s="270"/>
      <c r="C331" s="268"/>
      <c r="D331" s="268"/>
      <c r="E331" s="271"/>
      <c r="F331" s="271"/>
      <c r="G331" s="271"/>
    </row>
    <row r="332" spans="1:7" s="216" customFormat="1" x14ac:dyDescent="0.35">
      <c r="A332" s="157"/>
      <c r="B332" s="157" t="s">
        <v>2300</v>
      </c>
      <c r="C332" s="157" t="s">
        <v>112</v>
      </c>
      <c r="D332" s="157" t="s">
        <v>1643</v>
      </c>
      <c r="E332" s="157"/>
      <c r="F332" s="157" t="s">
        <v>486</v>
      </c>
      <c r="G332" s="157" t="s">
        <v>1902</v>
      </c>
    </row>
    <row r="333" spans="1:7" s="216" customFormat="1" x14ac:dyDescent="0.35">
      <c r="A333" s="329" t="s">
        <v>2166</v>
      </c>
      <c r="B333" s="252" t="s">
        <v>1636</v>
      </c>
      <c r="C333" s="245" t="s">
        <v>82</v>
      </c>
      <c r="D333" s="251" t="s">
        <v>82</v>
      </c>
      <c r="E333" s="253"/>
      <c r="F333" s="244" t="str">
        <f>IF($C$346=0,"",IF(C333="[For completion]","",C333/$C$346))</f>
        <v/>
      </c>
      <c r="G333" s="244" t="str">
        <f>IF($D$346=0,"",IF(D333="[For completion]","",D333/$D$346))</f>
        <v/>
      </c>
    </row>
    <row r="334" spans="1:7" s="216" customFormat="1" x14ac:dyDescent="0.35">
      <c r="A334" s="329" t="s">
        <v>2167</v>
      </c>
      <c r="B334" s="252" t="s">
        <v>1637</v>
      </c>
      <c r="C334" s="245" t="s">
        <v>82</v>
      </c>
      <c r="D334" s="251" t="s">
        <v>82</v>
      </c>
      <c r="E334" s="253"/>
      <c r="F334" s="365" t="str">
        <f t="shared" ref="F334:F345" si="13">IF($C$346=0,"",IF(C334="[For completion]","",C334/$C$346))</f>
        <v/>
      </c>
      <c r="G334" s="365" t="str">
        <f t="shared" ref="G334:G345" si="14">IF($D$346=0,"",IF(D334="[For completion]","",D334/$D$346))</f>
        <v/>
      </c>
    </row>
    <row r="335" spans="1:7" s="216" customFormat="1" x14ac:dyDescent="0.35">
      <c r="A335" s="329" t="s">
        <v>2168</v>
      </c>
      <c r="B335" s="344" t="s">
        <v>2318</v>
      </c>
      <c r="C335" s="245" t="s">
        <v>82</v>
      </c>
      <c r="D335" s="251" t="s">
        <v>82</v>
      </c>
      <c r="E335" s="253"/>
      <c r="F335" s="365" t="str">
        <f t="shared" si="13"/>
        <v/>
      </c>
      <c r="G335" s="365" t="str">
        <f t="shared" si="14"/>
        <v/>
      </c>
    </row>
    <row r="336" spans="1:7" s="216" customFormat="1" x14ac:dyDescent="0.35">
      <c r="A336" s="329" t="s">
        <v>2169</v>
      </c>
      <c r="B336" s="252" t="s">
        <v>1638</v>
      </c>
      <c r="C336" s="245" t="s">
        <v>82</v>
      </c>
      <c r="D336" s="251" t="s">
        <v>82</v>
      </c>
      <c r="E336" s="253"/>
      <c r="F336" s="365" t="str">
        <f t="shared" si="13"/>
        <v/>
      </c>
      <c r="G336" s="365" t="str">
        <f t="shared" si="14"/>
        <v/>
      </c>
    </row>
    <row r="337" spans="1:7" s="216" customFormat="1" x14ac:dyDescent="0.35">
      <c r="A337" s="329" t="s">
        <v>2170</v>
      </c>
      <c r="B337" s="252" t="s">
        <v>1639</v>
      </c>
      <c r="C337" s="245" t="s">
        <v>82</v>
      </c>
      <c r="D337" s="251" t="s">
        <v>82</v>
      </c>
      <c r="E337" s="253"/>
      <c r="F337" s="365" t="str">
        <f t="shared" si="13"/>
        <v/>
      </c>
      <c r="G337" s="365" t="str">
        <f t="shared" si="14"/>
        <v/>
      </c>
    </row>
    <row r="338" spans="1:7" s="216" customFormat="1" x14ac:dyDescent="0.35">
      <c r="A338" s="329" t="s">
        <v>2171</v>
      </c>
      <c r="B338" s="252" t="s">
        <v>1640</v>
      </c>
      <c r="C338" s="245" t="s">
        <v>82</v>
      </c>
      <c r="D338" s="251" t="s">
        <v>82</v>
      </c>
      <c r="E338" s="253"/>
      <c r="F338" s="365" t="str">
        <f t="shared" si="13"/>
        <v/>
      </c>
      <c r="G338" s="365" t="str">
        <f t="shared" si="14"/>
        <v/>
      </c>
    </row>
    <row r="339" spans="1:7" s="216" customFormat="1" x14ac:dyDescent="0.35">
      <c r="A339" s="329" t="s">
        <v>2172</v>
      </c>
      <c r="B339" s="252" t="s">
        <v>1641</v>
      </c>
      <c r="C339" s="245" t="s">
        <v>82</v>
      </c>
      <c r="D339" s="251" t="s">
        <v>82</v>
      </c>
      <c r="E339" s="253"/>
      <c r="F339" s="365" t="str">
        <f t="shared" si="13"/>
        <v/>
      </c>
      <c r="G339" s="365" t="str">
        <f t="shared" si="14"/>
        <v/>
      </c>
    </row>
    <row r="340" spans="1:7" s="216" customFormat="1" x14ac:dyDescent="0.35">
      <c r="A340" s="329" t="s">
        <v>2173</v>
      </c>
      <c r="B340" s="252" t="s">
        <v>1642</v>
      </c>
      <c r="C340" s="245" t="s">
        <v>82</v>
      </c>
      <c r="D340" s="251" t="s">
        <v>82</v>
      </c>
      <c r="E340" s="253"/>
      <c r="F340" s="365" t="str">
        <f t="shared" si="13"/>
        <v/>
      </c>
      <c r="G340" s="365" t="str">
        <f t="shared" si="14"/>
        <v/>
      </c>
    </row>
    <row r="341" spans="1:7" s="216" customFormat="1" x14ac:dyDescent="0.35">
      <c r="A341" s="367" t="s">
        <v>2174</v>
      </c>
      <c r="B341" s="368" t="s">
        <v>2694</v>
      </c>
      <c r="C341" s="245" t="s">
        <v>82</v>
      </c>
      <c r="D341" s="367" t="s">
        <v>82</v>
      </c>
      <c r="E341" s="377"/>
      <c r="F341" s="365" t="str">
        <f t="shared" si="13"/>
        <v/>
      </c>
      <c r="G341" s="365" t="str">
        <f t="shared" si="14"/>
        <v/>
      </c>
    </row>
    <row r="342" spans="1:7" s="216" customFormat="1" x14ac:dyDescent="0.35">
      <c r="A342" s="367" t="s">
        <v>2175</v>
      </c>
      <c r="B342" s="367" t="s">
        <v>2697</v>
      </c>
      <c r="C342" s="245" t="s">
        <v>82</v>
      </c>
      <c r="D342" s="367" t="s">
        <v>82</v>
      </c>
      <c r="E342" s="108"/>
      <c r="F342" s="365" t="str">
        <f t="shared" si="13"/>
        <v/>
      </c>
      <c r="G342" s="365" t="str">
        <f t="shared" si="14"/>
        <v/>
      </c>
    </row>
    <row r="343" spans="1:7" s="216" customFormat="1" x14ac:dyDescent="0.35">
      <c r="A343" s="367" t="s">
        <v>2176</v>
      </c>
      <c r="B343" s="367" t="s">
        <v>2695</v>
      </c>
      <c r="C343" s="245" t="s">
        <v>82</v>
      </c>
      <c r="D343" s="367" t="s">
        <v>82</v>
      </c>
      <c r="E343" s="108"/>
      <c r="F343" s="365" t="str">
        <f t="shared" si="13"/>
        <v/>
      </c>
      <c r="G343" s="365" t="str">
        <f t="shared" si="14"/>
        <v/>
      </c>
    </row>
    <row r="344" spans="1:7" s="361" customFormat="1" x14ac:dyDescent="0.35">
      <c r="A344" s="367" t="s">
        <v>2691</v>
      </c>
      <c r="B344" s="368" t="s">
        <v>2696</v>
      </c>
      <c r="C344" s="245" t="s">
        <v>82</v>
      </c>
      <c r="D344" s="367" t="s">
        <v>82</v>
      </c>
      <c r="E344" s="377"/>
      <c r="F344" s="365" t="str">
        <f t="shared" si="13"/>
        <v/>
      </c>
      <c r="G344" s="365" t="str">
        <f t="shared" si="14"/>
        <v/>
      </c>
    </row>
    <row r="345" spans="1:7" s="361" customFormat="1" x14ac:dyDescent="0.35">
      <c r="A345" s="367" t="s">
        <v>2692</v>
      </c>
      <c r="B345" s="367" t="s">
        <v>2037</v>
      </c>
      <c r="C345" s="245" t="s">
        <v>82</v>
      </c>
      <c r="D345" s="367" t="s">
        <v>82</v>
      </c>
      <c r="E345" s="108"/>
      <c r="F345" s="365" t="str">
        <f t="shared" si="13"/>
        <v/>
      </c>
      <c r="G345" s="365" t="str">
        <f t="shared" si="14"/>
        <v/>
      </c>
    </row>
    <row r="346" spans="1:7" s="361" customFormat="1" x14ac:dyDescent="0.35">
      <c r="A346" s="367" t="s">
        <v>2693</v>
      </c>
      <c r="B346" s="368" t="s">
        <v>145</v>
      </c>
      <c r="C346" s="245">
        <f>SUM(C333:C345)</f>
        <v>0</v>
      </c>
      <c r="D346" s="367">
        <f>SUM(D333:D345)</f>
        <v>0</v>
      </c>
      <c r="E346" s="377"/>
      <c r="F346" s="378">
        <f>SUM(F333:F345)</f>
        <v>0</v>
      </c>
      <c r="G346" s="378">
        <f>SUM(G333:G345)</f>
        <v>0</v>
      </c>
    </row>
    <row r="347" spans="1:7" s="361" customFormat="1" x14ac:dyDescent="0.35">
      <c r="A347" s="367" t="s">
        <v>2177</v>
      </c>
      <c r="B347" s="368"/>
      <c r="C347" s="245"/>
      <c r="D347" s="367"/>
      <c r="E347" s="377"/>
      <c r="F347" s="378"/>
      <c r="G347" s="378"/>
    </row>
    <row r="348" spans="1:7" s="361" customFormat="1" x14ac:dyDescent="0.35">
      <c r="A348" s="367" t="s">
        <v>2698</v>
      </c>
      <c r="B348" s="368"/>
      <c r="C348" s="245"/>
      <c r="D348" s="367"/>
      <c r="E348" s="377"/>
      <c r="F348" s="378"/>
      <c r="G348" s="378"/>
    </row>
    <row r="349" spans="1:7" s="361" customFormat="1" x14ac:dyDescent="0.35">
      <c r="A349" s="367" t="s">
        <v>2699</v>
      </c>
      <c r="B349" s="108"/>
      <c r="C349" s="108"/>
      <c r="D349" s="108"/>
      <c r="E349" s="108"/>
      <c r="F349" s="108"/>
      <c r="G349" s="108"/>
    </row>
    <row r="350" spans="1:7" s="361" customFormat="1" x14ac:dyDescent="0.35">
      <c r="A350" s="367" t="s">
        <v>2700</v>
      </c>
      <c r="B350" s="108"/>
      <c r="C350" s="108"/>
      <c r="D350" s="108"/>
      <c r="E350" s="108"/>
      <c r="F350" s="108"/>
      <c r="G350" s="108"/>
    </row>
    <row r="351" spans="1:7" s="361" customFormat="1" x14ac:dyDescent="0.35">
      <c r="A351" s="367" t="s">
        <v>2701</v>
      </c>
      <c r="B351" s="368"/>
      <c r="C351" s="245"/>
      <c r="D351" s="367"/>
      <c r="E351" s="377"/>
      <c r="F351" s="378"/>
      <c r="G351" s="378"/>
    </row>
    <row r="352" spans="1:7" s="361" customFormat="1" x14ac:dyDescent="0.35">
      <c r="A352" s="367" t="s">
        <v>2702</v>
      </c>
      <c r="B352" s="368"/>
      <c r="C352" s="245"/>
      <c r="D352" s="367"/>
      <c r="E352" s="377"/>
      <c r="F352" s="378"/>
      <c r="G352" s="378"/>
    </row>
    <row r="353" spans="1:7" s="361" customFormat="1" x14ac:dyDescent="0.35">
      <c r="A353" s="367" t="s">
        <v>2703</v>
      </c>
      <c r="B353" s="368"/>
      <c r="C353" s="245"/>
      <c r="D353" s="367"/>
      <c r="E353" s="377"/>
      <c r="F353" s="378"/>
      <c r="G353" s="378"/>
    </row>
    <row r="354" spans="1:7" s="361" customFormat="1" x14ac:dyDescent="0.35">
      <c r="A354" s="367" t="s">
        <v>2704</v>
      </c>
      <c r="B354" s="368"/>
      <c r="C354" s="245"/>
      <c r="D354" s="367"/>
      <c r="E354" s="377"/>
      <c r="F354" s="378"/>
      <c r="G354" s="378"/>
    </row>
    <row r="355" spans="1:7" s="216" customFormat="1" x14ac:dyDescent="0.35">
      <c r="A355" s="367" t="s">
        <v>2705</v>
      </c>
      <c r="B355" s="368"/>
      <c r="C355" s="367"/>
      <c r="D355" s="367"/>
      <c r="E355" s="377"/>
      <c r="F355" s="377"/>
      <c r="G355" s="377"/>
    </row>
    <row r="356" spans="1:7" s="361" customFormat="1" x14ac:dyDescent="0.35">
      <c r="A356" s="367" t="s">
        <v>2721</v>
      </c>
      <c r="B356" s="368"/>
      <c r="C356" s="367"/>
      <c r="D356" s="367"/>
      <c r="E356" s="377"/>
      <c r="F356" s="377"/>
      <c r="G356" s="377"/>
    </row>
    <row r="357" spans="1:7" s="216" customFormat="1" x14ac:dyDescent="0.35">
      <c r="A357" s="157"/>
      <c r="B357" s="157" t="s">
        <v>2301</v>
      </c>
      <c r="C357" s="157" t="s">
        <v>112</v>
      </c>
      <c r="D357" s="157" t="s">
        <v>1643</v>
      </c>
      <c r="E357" s="157"/>
      <c r="F357" s="157" t="s">
        <v>486</v>
      </c>
      <c r="G357" s="157" t="s">
        <v>1902</v>
      </c>
    </row>
    <row r="358" spans="1:7" s="216" customFormat="1" x14ac:dyDescent="0.35">
      <c r="A358" s="329" t="s">
        <v>2494</v>
      </c>
      <c r="B358" s="270" t="s">
        <v>2025</v>
      </c>
      <c r="C358" s="245" t="s">
        <v>82</v>
      </c>
      <c r="D358" s="268" t="s">
        <v>82</v>
      </c>
      <c r="E358" s="271"/>
      <c r="F358" s="244" t="str">
        <f>IF($C$365=0,"",IF(C358="[For completion]","",C358/$C$365))</f>
        <v/>
      </c>
      <c r="G358" s="244" t="str">
        <f>IF($D$365=0,"",IF(D358="[For completion]","",D358/$D$365))</f>
        <v/>
      </c>
    </row>
    <row r="359" spans="1:7" s="216" customFormat="1" x14ac:dyDescent="0.35">
      <c r="A359" s="329" t="s">
        <v>2495</v>
      </c>
      <c r="B359" s="266" t="s">
        <v>2026</v>
      </c>
      <c r="C359" s="245" t="s">
        <v>82</v>
      </c>
      <c r="D359" s="268" t="s">
        <v>82</v>
      </c>
      <c r="E359" s="271"/>
      <c r="F359" s="244" t="str">
        <f t="shared" ref="F359:F364" si="15">IF($C$365=0,"",IF(C359="[For completion]","",C359/$C$365))</f>
        <v/>
      </c>
      <c r="G359" s="244" t="str">
        <f t="shared" ref="G359:G364" si="16">IF($D$365=0,"",IF(D359="[For completion]","",D359/$D$365))</f>
        <v/>
      </c>
    </row>
    <row r="360" spans="1:7" s="216" customFormat="1" x14ac:dyDescent="0.35">
      <c r="A360" s="329" t="s">
        <v>2496</v>
      </c>
      <c r="B360" s="270" t="s">
        <v>2027</v>
      </c>
      <c r="C360" s="245" t="s">
        <v>82</v>
      </c>
      <c r="D360" s="268" t="s">
        <v>82</v>
      </c>
      <c r="E360" s="271"/>
      <c r="F360" s="244" t="str">
        <f t="shared" si="15"/>
        <v/>
      </c>
      <c r="G360" s="244" t="str">
        <f t="shared" si="16"/>
        <v/>
      </c>
    </row>
    <row r="361" spans="1:7" s="216" customFormat="1" x14ac:dyDescent="0.35">
      <c r="A361" s="329" t="s">
        <v>2497</v>
      </c>
      <c r="B361" s="270" t="s">
        <v>2028</v>
      </c>
      <c r="C361" s="245" t="s">
        <v>82</v>
      </c>
      <c r="D361" s="268" t="s">
        <v>82</v>
      </c>
      <c r="E361" s="271"/>
      <c r="F361" s="244" t="str">
        <f t="shared" si="15"/>
        <v/>
      </c>
      <c r="G361" s="244" t="str">
        <f t="shared" si="16"/>
        <v/>
      </c>
    </row>
    <row r="362" spans="1:7" s="216" customFormat="1" x14ac:dyDescent="0.35">
      <c r="A362" s="329" t="s">
        <v>2498</v>
      </c>
      <c r="B362" s="270" t="s">
        <v>2029</v>
      </c>
      <c r="C362" s="245" t="s">
        <v>82</v>
      </c>
      <c r="D362" s="268" t="s">
        <v>82</v>
      </c>
      <c r="E362" s="271"/>
      <c r="F362" s="244" t="str">
        <f t="shared" si="15"/>
        <v/>
      </c>
      <c r="G362" s="244" t="str">
        <f t="shared" si="16"/>
        <v/>
      </c>
    </row>
    <row r="363" spans="1:7" s="216" customFormat="1" x14ac:dyDescent="0.35">
      <c r="A363" s="329" t="s">
        <v>2499</v>
      </c>
      <c r="B363" s="270" t="s">
        <v>2030</v>
      </c>
      <c r="C363" s="245" t="s">
        <v>82</v>
      </c>
      <c r="D363" s="268" t="s">
        <v>82</v>
      </c>
      <c r="E363" s="271"/>
      <c r="F363" s="244" t="str">
        <f t="shared" si="15"/>
        <v/>
      </c>
      <c r="G363" s="244" t="str">
        <f t="shared" si="16"/>
        <v/>
      </c>
    </row>
    <row r="364" spans="1:7" s="216" customFormat="1" x14ac:dyDescent="0.35">
      <c r="A364" s="329" t="s">
        <v>2500</v>
      </c>
      <c r="B364" s="270" t="s">
        <v>1644</v>
      </c>
      <c r="C364" s="245" t="s">
        <v>82</v>
      </c>
      <c r="D364" s="268" t="s">
        <v>82</v>
      </c>
      <c r="E364" s="271"/>
      <c r="F364" s="244" t="str">
        <f t="shared" si="15"/>
        <v/>
      </c>
      <c r="G364" s="244" t="str">
        <f t="shared" si="16"/>
        <v/>
      </c>
    </row>
    <row r="365" spans="1:7" s="216" customFormat="1" x14ac:dyDescent="0.35">
      <c r="A365" s="329" t="s">
        <v>2501</v>
      </c>
      <c r="B365" s="270" t="s">
        <v>145</v>
      </c>
      <c r="C365" s="245">
        <f>SUM(C358:C364)</f>
        <v>0</v>
      </c>
      <c r="D365" s="268">
        <f>SUM(D358:D364)</f>
        <v>0</v>
      </c>
      <c r="E365" s="271"/>
      <c r="F365" s="296">
        <f>SUM(F358:F364)</f>
        <v>0</v>
      </c>
      <c r="G365" s="296">
        <f>SUM(G358:G364)</f>
        <v>0</v>
      </c>
    </row>
    <row r="366" spans="1:7" s="216" customFormat="1" x14ac:dyDescent="0.35">
      <c r="A366" s="329" t="s">
        <v>2178</v>
      </c>
      <c r="B366" s="270"/>
      <c r="C366" s="268"/>
      <c r="D366" s="268"/>
      <c r="E366" s="271"/>
      <c r="F366" s="271"/>
      <c r="G366" s="271"/>
    </row>
    <row r="367" spans="1:7" s="216" customFormat="1" x14ac:dyDescent="0.35">
      <c r="A367" s="157"/>
      <c r="B367" s="157" t="s">
        <v>2302</v>
      </c>
      <c r="C367" s="157" t="s">
        <v>112</v>
      </c>
      <c r="D367" s="157" t="s">
        <v>1643</v>
      </c>
      <c r="E367" s="157"/>
      <c r="F367" s="157" t="s">
        <v>486</v>
      </c>
      <c r="G367" s="157" t="s">
        <v>1902</v>
      </c>
    </row>
    <row r="368" spans="1:7" s="216" customFormat="1" x14ac:dyDescent="0.35">
      <c r="A368" s="329" t="s">
        <v>2502</v>
      </c>
      <c r="B368" s="270" t="s">
        <v>2219</v>
      </c>
      <c r="C368" s="245" t="s">
        <v>82</v>
      </c>
      <c r="D368" s="268" t="s">
        <v>82</v>
      </c>
      <c r="E368" s="271"/>
      <c r="F368" s="244" t="str">
        <f>IF($C$372=0,"",IF(C368="[For completion]","",C368/$C$372))</f>
        <v/>
      </c>
      <c r="G368" s="244" t="str">
        <f>IF($D$372=0,"",IF(D368="[For completion]","",D368/$D$372))</f>
        <v/>
      </c>
    </row>
    <row r="369" spans="1:7" s="216" customFormat="1" x14ac:dyDescent="0.35">
      <c r="A369" s="329" t="s">
        <v>2503</v>
      </c>
      <c r="B369" s="266" t="s">
        <v>2266</v>
      </c>
      <c r="C369" s="245" t="s">
        <v>82</v>
      </c>
      <c r="D369" s="268" t="s">
        <v>82</v>
      </c>
      <c r="E369" s="271"/>
      <c r="F369" s="244" t="str">
        <f>IF($C$372=0,"",IF(C369="[For completion]","",C369/$C$372))</f>
        <v/>
      </c>
      <c r="G369" s="244" t="str">
        <f>IF($D$372=0,"",IF(D369="[For completion]","",D369/$D$372))</f>
        <v/>
      </c>
    </row>
    <row r="370" spans="1:7" s="216" customFormat="1" x14ac:dyDescent="0.35">
      <c r="A370" s="329" t="s">
        <v>2504</v>
      </c>
      <c r="B370" s="270" t="s">
        <v>1644</v>
      </c>
      <c r="C370" s="245" t="s">
        <v>82</v>
      </c>
      <c r="D370" s="268" t="s">
        <v>82</v>
      </c>
      <c r="E370" s="271"/>
      <c r="F370" s="244" t="str">
        <f>IF($C$372=0,"",IF(C370="[For completion]","",C370/$C$372))</f>
        <v/>
      </c>
      <c r="G370" s="244" t="str">
        <f>IF($D$372=0,"",IF(D370="[For completion]","",D370/$D$372))</f>
        <v/>
      </c>
    </row>
    <row r="371" spans="1:7" s="216" customFormat="1" x14ac:dyDescent="0.35">
      <c r="A371" s="329" t="s">
        <v>2505</v>
      </c>
      <c r="B371" s="268" t="s">
        <v>2037</v>
      </c>
      <c r="C371" s="245" t="s">
        <v>82</v>
      </c>
      <c r="D371" s="268" t="s">
        <v>82</v>
      </c>
      <c r="E371" s="271"/>
      <c r="F371" s="244" t="str">
        <f>IF($C$372=0,"",IF(C371="[For completion]","",C371/$C$372))</f>
        <v/>
      </c>
      <c r="G371" s="244" t="str">
        <f>IF($D$372=0,"",IF(D371="[For completion]","",D371/$D$372))</f>
        <v/>
      </c>
    </row>
    <row r="372" spans="1:7" s="216" customFormat="1" x14ac:dyDescent="0.35">
      <c r="A372" s="329" t="s">
        <v>2506</v>
      </c>
      <c r="B372" s="270" t="s">
        <v>145</v>
      </c>
      <c r="C372" s="245">
        <f>SUM(C368:C371)</f>
        <v>0</v>
      </c>
      <c r="D372" s="268">
        <f>SUM(D368:D371)</f>
        <v>0</v>
      </c>
      <c r="E372" s="271"/>
      <c r="F372" s="296">
        <f>SUM(F368:F371)</f>
        <v>0</v>
      </c>
      <c r="G372" s="296">
        <f>SUM(G368:G371)</f>
        <v>0</v>
      </c>
    </row>
    <row r="373" spans="1:7" s="216" customFormat="1" x14ac:dyDescent="0.35">
      <c r="A373" s="329" t="s">
        <v>2507</v>
      </c>
      <c r="B373" s="270"/>
      <c r="C373" s="268"/>
      <c r="D373" s="268"/>
      <c r="E373" s="271"/>
      <c r="F373" s="271"/>
      <c r="G373" s="271"/>
    </row>
    <row r="374" spans="1:7" s="216" customFormat="1" x14ac:dyDescent="0.35">
      <c r="A374" s="157"/>
      <c r="B374" s="157" t="s">
        <v>2685</v>
      </c>
      <c r="C374" s="157" t="s">
        <v>2682</v>
      </c>
      <c r="D374" s="157" t="s">
        <v>2683</v>
      </c>
      <c r="E374" s="157"/>
      <c r="F374" s="157" t="s">
        <v>2684</v>
      </c>
      <c r="G374" s="157"/>
    </row>
    <row r="375" spans="1:7" s="216" customFormat="1" x14ac:dyDescent="0.35">
      <c r="A375" s="329" t="s">
        <v>2508</v>
      </c>
      <c r="B375" s="270" t="s">
        <v>2025</v>
      </c>
      <c r="C375" s="379" t="s">
        <v>82</v>
      </c>
      <c r="D375" s="367" t="s">
        <v>82</v>
      </c>
      <c r="E375" s="345"/>
      <c r="F375" s="384" t="s">
        <v>82</v>
      </c>
      <c r="G375" s="244" t="str">
        <f>IF($D$393=0,"",IF(D375="[For completion]","",D375/$D$393))</f>
        <v/>
      </c>
    </row>
    <row r="376" spans="1:7" s="216" customFormat="1" x14ac:dyDescent="0.35">
      <c r="A376" s="329" t="s">
        <v>2509</v>
      </c>
      <c r="B376" s="270" t="s">
        <v>2026</v>
      </c>
      <c r="C376" s="379" t="s">
        <v>82</v>
      </c>
      <c r="D376" s="367" t="s">
        <v>82</v>
      </c>
      <c r="E376" s="345"/>
      <c r="F376" s="384" t="s">
        <v>82</v>
      </c>
      <c r="G376" s="244" t="str">
        <f t="shared" ref="G376:G393" si="17">IF($D$393=0,"",IF(D376="[For completion]","",D376/$D$393))</f>
        <v/>
      </c>
    </row>
    <row r="377" spans="1:7" s="216" customFormat="1" x14ac:dyDescent="0.35">
      <c r="A377" s="329" t="s">
        <v>2510</v>
      </c>
      <c r="B377" s="270" t="s">
        <v>2027</v>
      </c>
      <c r="C377" s="379" t="s">
        <v>82</v>
      </c>
      <c r="D377" s="367" t="s">
        <v>82</v>
      </c>
      <c r="E377" s="345"/>
      <c r="F377" s="384" t="s">
        <v>82</v>
      </c>
      <c r="G377" s="244" t="str">
        <f t="shared" si="17"/>
        <v/>
      </c>
    </row>
    <row r="378" spans="1:7" s="216" customFormat="1" x14ac:dyDescent="0.35">
      <c r="A378" s="329" t="s">
        <v>2511</v>
      </c>
      <c r="B378" s="270" t="s">
        <v>2028</v>
      </c>
      <c r="C378" s="379" t="s">
        <v>82</v>
      </c>
      <c r="D378" s="367" t="s">
        <v>82</v>
      </c>
      <c r="E378" s="345"/>
      <c r="F378" s="384" t="s">
        <v>82</v>
      </c>
      <c r="G378" s="244" t="str">
        <f t="shared" si="17"/>
        <v/>
      </c>
    </row>
    <row r="379" spans="1:7" s="216" customFormat="1" x14ac:dyDescent="0.35">
      <c r="A379" s="329" t="s">
        <v>2512</v>
      </c>
      <c r="B379" s="270" t="s">
        <v>2029</v>
      </c>
      <c r="C379" s="379" t="s">
        <v>82</v>
      </c>
      <c r="D379" s="367" t="s">
        <v>82</v>
      </c>
      <c r="E379" s="345"/>
      <c r="F379" s="384" t="s">
        <v>82</v>
      </c>
      <c r="G379" s="244" t="str">
        <f t="shared" si="17"/>
        <v/>
      </c>
    </row>
    <row r="380" spans="1:7" s="216" customFormat="1" x14ac:dyDescent="0.35">
      <c r="A380" s="329" t="s">
        <v>2513</v>
      </c>
      <c r="B380" s="270" t="s">
        <v>2030</v>
      </c>
      <c r="C380" s="379" t="s">
        <v>82</v>
      </c>
      <c r="D380" s="367" t="s">
        <v>82</v>
      </c>
      <c r="E380" s="345"/>
      <c r="F380" s="384" t="s">
        <v>82</v>
      </c>
      <c r="G380" s="244" t="str">
        <f t="shared" si="17"/>
        <v/>
      </c>
    </row>
    <row r="381" spans="1:7" s="216" customFormat="1" x14ac:dyDescent="0.35">
      <c r="A381" s="329" t="s">
        <v>2514</v>
      </c>
      <c r="B381" s="270" t="s">
        <v>1644</v>
      </c>
      <c r="C381" s="379" t="s">
        <v>82</v>
      </c>
      <c r="D381" s="367" t="s">
        <v>82</v>
      </c>
      <c r="E381" s="345"/>
      <c r="F381" s="384" t="s">
        <v>82</v>
      </c>
      <c r="G381" s="244" t="str">
        <f t="shared" si="17"/>
        <v/>
      </c>
    </row>
    <row r="382" spans="1:7" s="216" customFormat="1" x14ac:dyDescent="0.35">
      <c r="A382" s="329" t="s">
        <v>2515</v>
      </c>
      <c r="B382" s="270" t="s">
        <v>2037</v>
      </c>
      <c r="C382" s="379" t="s">
        <v>82</v>
      </c>
      <c r="D382" s="367" t="s">
        <v>82</v>
      </c>
      <c r="E382" s="345"/>
      <c r="F382" s="384" t="s">
        <v>82</v>
      </c>
      <c r="G382" s="244" t="str">
        <f t="shared" si="17"/>
        <v/>
      </c>
    </row>
    <row r="383" spans="1:7" s="216" customFormat="1" x14ac:dyDescent="0.35">
      <c r="A383" s="329" t="s">
        <v>2516</v>
      </c>
      <c r="B383" s="270" t="s">
        <v>145</v>
      </c>
      <c r="C383" s="381">
        <v>0</v>
      </c>
      <c r="D383" s="381">
        <v>0</v>
      </c>
      <c r="E383" s="345"/>
      <c r="F383" s="367"/>
      <c r="G383" s="244" t="str">
        <f t="shared" si="17"/>
        <v/>
      </c>
    </row>
    <row r="384" spans="1:7" s="216" customFormat="1" x14ac:dyDescent="0.35">
      <c r="A384" s="329" t="s">
        <v>2517</v>
      </c>
      <c r="B384" s="270" t="s">
        <v>2681</v>
      </c>
      <c r="C384" s="264"/>
      <c r="D384" s="264"/>
      <c r="E384" s="264"/>
      <c r="F384" s="339" t="s">
        <v>82</v>
      </c>
      <c r="G384" s="244" t="str">
        <f t="shared" si="17"/>
        <v/>
      </c>
    </row>
    <row r="385" spans="1:7" s="216" customFormat="1" x14ac:dyDescent="0.35">
      <c r="A385" s="329" t="s">
        <v>2518</v>
      </c>
      <c r="B385" s="344"/>
      <c r="C385" s="245"/>
      <c r="D385" s="329"/>
      <c r="E385" s="345"/>
      <c r="F385" s="244"/>
      <c r="G385" s="244" t="str">
        <f t="shared" si="17"/>
        <v/>
      </c>
    </row>
    <row r="386" spans="1:7" s="216" customFormat="1" x14ac:dyDescent="0.35">
      <c r="A386" s="329" t="s">
        <v>2519</v>
      </c>
      <c r="B386" s="344"/>
      <c r="C386" s="245"/>
      <c r="D386" s="329"/>
      <c r="E386" s="345"/>
      <c r="F386" s="244"/>
      <c r="G386" s="244" t="str">
        <f t="shared" si="17"/>
        <v/>
      </c>
    </row>
    <row r="387" spans="1:7" s="216" customFormat="1" x14ac:dyDescent="0.35">
      <c r="A387" s="329" t="s">
        <v>2520</v>
      </c>
      <c r="B387" s="344"/>
      <c r="C387" s="245"/>
      <c r="D387" s="329"/>
      <c r="E387" s="345"/>
      <c r="F387" s="244"/>
      <c r="G387" s="244" t="str">
        <f t="shared" si="17"/>
        <v/>
      </c>
    </row>
    <row r="388" spans="1:7" s="216" customFormat="1" x14ac:dyDescent="0.35">
      <c r="A388" s="329" t="s">
        <v>2521</v>
      </c>
      <c r="B388" s="344"/>
      <c r="C388" s="245"/>
      <c r="D388" s="329"/>
      <c r="E388" s="345"/>
      <c r="F388" s="244"/>
      <c r="G388" s="244" t="str">
        <f t="shared" si="17"/>
        <v/>
      </c>
    </row>
    <row r="389" spans="1:7" s="216" customFormat="1" x14ac:dyDescent="0.35">
      <c r="A389" s="329" t="s">
        <v>2522</v>
      </c>
      <c r="B389" s="344"/>
      <c r="C389" s="245"/>
      <c r="D389" s="329"/>
      <c r="E389" s="345"/>
      <c r="F389" s="244"/>
      <c r="G389" s="244" t="str">
        <f t="shared" si="17"/>
        <v/>
      </c>
    </row>
    <row r="390" spans="1:7" s="216" customFormat="1" x14ac:dyDescent="0.35">
      <c r="A390" s="329" t="s">
        <v>2523</v>
      </c>
      <c r="B390" s="344"/>
      <c r="C390" s="245"/>
      <c r="D390" s="329"/>
      <c r="E390" s="345"/>
      <c r="F390" s="244"/>
      <c r="G390" s="244" t="str">
        <f t="shared" si="17"/>
        <v/>
      </c>
    </row>
    <row r="391" spans="1:7" s="216" customFormat="1" x14ac:dyDescent="0.35">
      <c r="A391" s="329" t="s">
        <v>2524</v>
      </c>
      <c r="B391" s="344"/>
      <c r="C391" s="245"/>
      <c r="D391" s="329"/>
      <c r="E391" s="345"/>
      <c r="F391" s="244"/>
      <c r="G391" s="244" t="str">
        <f t="shared" si="17"/>
        <v/>
      </c>
    </row>
    <row r="392" spans="1:7" s="216" customFormat="1" x14ac:dyDescent="0.35">
      <c r="A392" s="329" t="s">
        <v>2525</v>
      </c>
      <c r="B392" s="344"/>
      <c r="C392" s="245"/>
      <c r="D392" s="329"/>
      <c r="E392" s="345"/>
      <c r="F392" s="244"/>
      <c r="G392" s="244" t="str">
        <f t="shared" si="17"/>
        <v/>
      </c>
    </row>
    <row r="393" spans="1:7" s="216" customFormat="1" x14ac:dyDescent="0.35">
      <c r="A393" s="329" t="s">
        <v>2526</v>
      </c>
      <c r="B393" s="344"/>
      <c r="C393" s="245"/>
      <c r="D393" s="329"/>
      <c r="E393" s="345"/>
      <c r="F393" s="244"/>
      <c r="G393" s="244" t="str">
        <f t="shared" si="17"/>
        <v/>
      </c>
    </row>
    <row r="394" spans="1:7" s="216" customFormat="1" x14ac:dyDescent="0.35">
      <c r="A394" s="329" t="s">
        <v>2527</v>
      </c>
      <c r="B394" s="329"/>
      <c r="C394" s="346"/>
      <c r="D394" s="329"/>
      <c r="E394" s="345"/>
      <c r="F394" s="345"/>
      <c r="G394" s="345"/>
    </row>
    <row r="395" spans="1:7" s="216" customFormat="1" x14ac:dyDescent="0.35">
      <c r="A395" s="329" t="s">
        <v>2528</v>
      </c>
      <c r="B395" s="329"/>
      <c r="C395" s="346"/>
      <c r="D395" s="329"/>
      <c r="E395" s="345"/>
      <c r="F395" s="345"/>
      <c r="G395" s="345"/>
    </row>
    <row r="396" spans="1:7" s="216" customFormat="1" x14ac:dyDescent="0.35">
      <c r="A396" s="329" t="s">
        <v>2529</v>
      </c>
      <c r="B396" s="329"/>
      <c r="C396" s="346"/>
      <c r="D396" s="329"/>
      <c r="E396" s="345"/>
      <c r="F396" s="345"/>
      <c r="G396" s="345"/>
    </row>
    <row r="397" spans="1:7" s="216" customFormat="1" x14ac:dyDescent="0.35">
      <c r="A397" s="329" t="s">
        <v>2530</v>
      </c>
      <c r="B397" s="329"/>
      <c r="C397" s="346"/>
      <c r="D397" s="329"/>
      <c r="E397" s="345"/>
      <c r="F397" s="345"/>
      <c r="G397" s="345"/>
    </row>
    <row r="398" spans="1:7" s="216" customFormat="1" x14ac:dyDescent="0.35">
      <c r="A398" s="329" t="s">
        <v>2531</v>
      </c>
      <c r="B398" s="329"/>
      <c r="C398" s="346"/>
      <c r="D398" s="329"/>
      <c r="E398" s="345"/>
      <c r="F398" s="345"/>
      <c r="G398" s="345"/>
    </row>
    <row r="399" spans="1:7" s="216" customFormat="1" x14ac:dyDescent="0.35">
      <c r="A399" s="329" t="s">
        <v>2532</v>
      </c>
      <c r="B399" s="329"/>
      <c r="C399" s="346"/>
      <c r="D399" s="329"/>
      <c r="E399" s="345"/>
      <c r="F399" s="345"/>
      <c r="G399" s="345"/>
    </row>
    <row r="400" spans="1:7" s="216" customFormat="1" x14ac:dyDescent="0.35">
      <c r="A400" s="329" t="s">
        <v>2533</v>
      </c>
      <c r="B400" s="329"/>
      <c r="C400" s="346"/>
      <c r="D400" s="329"/>
      <c r="E400" s="345"/>
      <c r="F400" s="345"/>
      <c r="G400" s="345"/>
    </row>
    <row r="401" spans="1:7" s="216" customFormat="1" x14ac:dyDescent="0.35">
      <c r="A401" s="329" t="s">
        <v>2534</v>
      </c>
      <c r="B401" s="329"/>
      <c r="C401" s="346"/>
      <c r="D401" s="329"/>
      <c r="E401" s="345"/>
      <c r="F401" s="345"/>
      <c r="G401" s="345"/>
    </row>
    <row r="402" spans="1:7" s="216" customFormat="1" x14ac:dyDescent="0.35">
      <c r="A402" s="329" t="s">
        <v>2535</v>
      </c>
      <c r="B402" s="329"/>
      <c r="C402" s="346"/>
      <c r="D402" s="329"/>
      <c r="E402" s="345"/>
      <c r="F402" s="345"/>
      <c r="G402" s="345"/>
    </row>
    <row r="403" spans="1:7" s="216" customFormat="1" x14ac:dyDescent="0.35">
      <c r="A403" s="329" t="s">
        <v>2536</v>
      </c>
      <c r="B403" s="329"/>
      <c r="C403" s="346"/>
      <c r="D403" s="329"/>
      <c r="E403" s="345"/>
      <c r="F403" s="345"/>
      <c r="G403" s="345"/>
    </row>
    <row r="404" spans="1:7" s="216" customFormat="1" x14ac:dyDescent="0.35">
      <c r="A404" s="329" t="s">
        <v>2537</v>
      </c>
      <c r="B404" s="329"/>
      <c r="C404" s="346"/>
      <c r="D404" s="329"/>
      <c r="E404" s="345"/>
      <c r="F404" s="345"/>
      <c r="G404" s="345"/>
    </row>
    <row r="405" spans="1:7" s="216" customFormat="1" x14ac:dyDescent="0.35">
      <c r="A405" s="329" t="s">
        <v>2538</v>
      </c>
      <c r="B405" s="329"/>
      <c r="C405" s="346"/>
      <c r="D405" s="329"/>
      <c r="E405" s="345"/>
      <c r="F405" s="345"/>
      <c r="G405" s="345"/>
    </row>
    <row r="406" spans="1:7" s="216" customFormat="1" x14ac:dyDescent="0.35">
      <c r="A406" s="329" t="s">
        <v>2539</v>
      </c>
      <c r="B406" s="329"/>
      <c r="C406" s="346"/>
      <c r="D406" s="329"/>
      <c r="E406" s="345"/>
      <c r="F406" s="345"/>
      <c r="G406" s="345"/>
    </row>
    <row r="407" spans="1:7" s="216" customFormat="1" x14ac:dyDescent="0.35">
      <c r="A407" s="329" t="s">
        <v>2540</v>
      </c>
      <c r="B407" s="329"/>
      <c r="C407" s="346"/>
      <c r="D407" s="329"/>
      <c r="E407" s="345"/>
      <c r="F407" s="345"/>
      <c r="G407" s="345"/>
    </row>
    <row r="408" spans="1:7" s="216" customFormat="1" x14ac:dyDescent="0.35">
      <c r="A408" s="329" t="s">
        <v>2541</v>
      </c>
      <c r="B408" s="329"/>
      <c r="C408" s="346"/>
      <c r="D408" s="329"/>
      <c r="E408" s="345"/>
      <c r="F408" s="345"/>
      <c r="G408" s="345"/>
    </row>
    <row r="409" spans="1:7" s="216" customFormat="1" x14ac:dyDescent="0.35">
      <c r="A409" s="329" t="s">
        <v>2542</v>
      </c>
      <c r="B409" s="329"/>
      <c r="C409" s="346"/>
      <c r="D409" s="329"/>
      <c r="E409" s="345"/>
      <c r="F409" s="345"/>
      <c r="G409" s="345"/>
    </row>
    <row r="410" spans="1:7" s="216" customFormat="1" x14ac:dyDescent="0.35">
      <c r="A410" s="329" t="s">
        <v>2543</v>
      </c>
      <c r="B410" s="329"/>
      <c r="C410" s="346"/>
      <c r="D410" s="329"/>
      <c r="E410" s="345"/>
      <c r="F410" s="345"/>
      <c r="G410" s="345"/>
    </row>
    <row r="411" spans="1:7" s="216" customFormat="1" x14ac:dyDescent="0.35">
      <c r="A411" s="329" t="s">
        <v>2544</v>
      </c>
      <c r="B411" s="329"/>
      <c r="C411" s="346"/>
      <c r="D411" s="329"/>
      <c r="E411" s="345"/>
      <c r="F411" s="345"/>
      <c r="G411" s="345"/>
    </row>
    <row r="412" spans="1:7" s="216" customFormat="1" x14ac:dyDescent="0.35">
      <c r="A412" s="329" t="s">
        <v>2545</v>
      </c>
      <c r="B412" s="329"/>
      <c r="C412" s="346"/>
      <c r="D412" s="329"/>
      <c r="E412" s="345"/>
      <c r="F412" s="345"/>
      <c r="G412" s="345"/>
    </row>
    <row r="413" spans="1:7" s="258" customFormat="1" x14ac:dyDescent="0.35">
      <c r="A413" s="329" t="s">
        <v>2546</v>
      </c>
      <c r="B413" s="329"/>
      <c r="C413" s="346"/>
      <c r="D413" s="329"/>
      <c r="E413" s="345"/>
      <c r="F413" s="345"/>
      <c r="G413" s="345"/>
    </row>
    <row r="414" spans="1:7" s="258" customFormat="1" x14ac:dyDescent="0.35">
      <c r="A414" s="329" t="s">
        <v>2547</v>
      </c>
      <c r="B414" s="329"/>
      <c r="C414" s="346"/>
      <c r="D414" s="329"/>
      <c r="E414" s="345"/>
      <c r="F414" s="345"/>
      <c r="G414" s="345"/>
    </row>
    <row r="415" spans="1:7" s="258" customFormat="1" x14ac:dyDescent="0.35">
      <c r="A415" s="329" t="s">
        <v>2548</v>
      </c>
      <c r="B415" s="329"/>
      <c r="C415" s="346"/>
      <c r="D415" s="329"/>
      <c r="E415" s="345"/>
      <c r="F415" s="345"/>
      <c r="G415" s="345"/>
    </row>
    <row r="416" spans="1:7" s="258" customFormat="1" x14ac:dyDescent="0.35">
      <c r="A416" s="329" t="s">
        <v>2549</v>
      </c>
      <c r="B416" s="329"/>
      <c r="C416" s="346"/>
      <c r="D416" s="329"/>
      <c r="E416" s="345"/>
      <c r="F416" s="345"/>
      <c r="G416" s="345"/>
    </row>
    <row r="417" spans="1:7" s="258" customFormat="1" x14ac:dyDescent="0.35">
      <c r="A417" s="329" t="s">
        <v>2550</v>
      </c>
      <c r="B417" s="329"/>
      <c r="C417" s="346"/>
      <c r="D417" s="329"/>
      <c r="E417" s="345"/>
      <c r="F417" s="345"/>
      <c r="G417" s="345"/>
    </row>
    <row r="418" spans="1:7" s="258" customFormat="1" x14ac:dyDescent="0.35">
      <c r="A418" s="329" t="s">
        <v>2551</v>
      </c>
      <c r="B418" s="329"/>
      <c r="C418" s="346"/>
      <c r="D418" s="329"/>
      <c r="E418" s="345"/>
      <c r="F418" s="345"/>
      <c r="G418" s="345"/>
    </row>
    <row r="419" spans="1:7" s="258" customFormat="1" x14ac:dyDescent="0.35">
      <c r="A419" s="329" t="s">
        <v>2552</v>
      </c>
      <c r="B419" s="329"/>
      <c r="C419" s="346"/>
      <c r="D419" s="329"/>
      <c r="E419" s="345"/>
      <c r="F419" s="345"/>
      <c r="G419" s="345"/>
    </row>
    <row r="420" spans="1:7" s="258" customFormat="1" x14ac:dyDescent="0.35">
      <c r="A420" s="329" t="s">
        <v>2553</v>
      </c>
      <c r="B420" s="329"/>
      <c r="C420" s="346"/>
      <c r="D420" s="329"/>
      <c r="E420" s="345"/>
      <c r="F420" s="345"/>
      <c r="G420" s="345"/>
    </row>
    <row r="421" spans="1:7" s="258" customFormat="1" x14ac:dyDescent="0.35">
      <c r="A421" s="329" t="s">
        <v>2554</v>
      </c>
      <c r="B421" s="329"/>
      <c r="C421" s="346"/>
      <c r="D421" s="329"/>
      <c r="E421" s="345"/>
      <c r="F421" s="345"/>
      <c r="G421" s="345"/>
    </row>
    <row r="422" spans="1:7" s="216" customFormat="1" x14ac:dyDescent="0.35">
      <c r="A422" s="329" t="s">
        <v>2555</v>
      </c>
      <c r="B422" s="329"/>
      <c r="C422" s="346"/>
      <c r="D422" s="329"/>
      <c r="E422" s="345"/>
      <c r="F422" s="345"/>
      <c r="G422" s="345"/>
    </row>
    <row r="423" spans="1:7" ht="18.5" x14ac:dyDescent="0.35">
      <c r="A423" s="169"/>
      <c r="B423" s="170" t="s">
        <v>775</v>
      </c>
      <c r="C423" s="169"/>
      <c r="D423" s="169"/>
      <c r="E423" s="169"/>
      <c r="F423" s="171"/>
      <c r="G423" s="171"/>
    </row>
    <row r="424" spans="1:7" ht="15" customHeight="1" x14ac:dyDescent="0.35">
      <c r="A424" s="156"/>
      <c r="B424" s="156" t="s">
        <v>2319</v>
      </c>
      <c r="C424" s="156" t="s">
        <v>656</v>
      </c>
      <c r="D424" s="156" t="s">
        <v>657</v>
      </c>
      <c r="E424" s="156"/>
      <c r="F424" s="156" t="s">
        <v>487</v>
      </c>
      <c r="G424" s="156" t="s">
        <v>658</v>
      </c>
    </row>
    <row r="425" spans="1:7" x14ac:dyDescent="0.35">
      <c r="A425" s="329" t="s">
        <v>2059</v>
      </c>
      <c r="B425" s="145" t="s">
        <v>660</v>
      </c>
      <c r="C425" s="208" t="s">
        <v>82</v>
      </c>
      <c r="D425" s="172"/>
      <c r="E425" s="172"/>
      <c r="F425" s="173"/>
      <c r="G425" s="173"/>
    </row>
    <row r="426" spans="1:7" x14ac:dyDescent="0.35">
      <c r="A426" s="347"/>
      <c r="D426" s="172"/>
      <c r="E426" s="172"/>
      <c r="F426" s="173"/>
      <c r="G426" s="173"/>
    </row>
    <row r="427" spans="1:7" x14ac:dyDescent="0.35">
      <c r="A427" s="329"/>
      <c r="B427" s="145" t="s">
        <v>661</v>
      </c>
      <c r="D427" s="172"/>
      <c r="E427" s="172"/>
      <c r="F427" s="173"/>
      <c r="G427" s="173"/>
    </row>
    <row r="428" spans="1:7" x14ac:dyDescent="0.35">
      <c r="A428" s="329" t="s">
        <v>2060</v>
      </c>
      <c r="B428" s="166" t="s">
        <v>579</v>
      </c>
      <c r="C428" s="208" t="s">
        <v>82</v>
      </c>
      <c r="D428" s="211" t="s">
        <v>82</v>
      </c>
      <c r="E428" s="172"/>
      <c r="F428" s="207" t="str">
        <f t="shared" ref="F428:F451" si="18">IF($C$452=0,"",IF(C428="[for completion]","",C428/$C$452))</f>
        <v/>
      </c>
      <c r="G428" s="207" t="str">
        <f t="shared" ref="G428:G451" si="19">IF($D$452=0,"",IF(D428="[for completion]","",D428/$D$452))</f>
        <v/>
      </c>
    </row>
    <row r="429" spans="1:7" x14ac:dyDescent="0.35">
      <c r="A429" s="329" t="s">
        <v>2061</v>
      </c>
      <c r="B429" s="166" t="s">
        <v>579</v>
      </c>
      <c r="C429" s="208" t="s">
        <v>82</v>
      </c>
      <c r="D429" s="211" t="s">
        <v>82</v>
      </c>
      <c r="E429" s="172"/>
      <c r="F429" s="207" t="str">
        <f t="shared" si="18"/>
        <v/>
      </c>
      <c r="G429" s="207" t="str">
        <f t="shared" si="19"/>
        <v/>
      </c>
    </row>
    <row r="430" spans="1:7" x14ac:dyDescent="0.35">
      <c r="A430" s="329" t="s">
        <v>2062</v>
      </c>
      <c r="B430" s="166" t="s">
        <v>579</v>
      </c>
      <c r="C430" s="208" t="s">
        <v>82</v>
      </c>
      <c r="D430" s="211" t="s">
        <v>82</v>
      </c>
      <c r="E430" s="172"/>
      <c r="F430" s="207" t="str">
        <f t="shared" si="18"/>
        <v/>
      </c>
      <c r="G430" s="207" t="str">
        <f t="shared" si="19"/>
        <v/>
      </c>
    </row>
    <row r="431" spans="1:7" x14ac:dyDescent="0.35">
      <c r="A431" s="329" t="s">
        <v>2063</v>
      </c>
      <c r="B431" s="166" t="s">
        <v>579</v>
      </c>
      <c r="C431" s="208" t="s">
        <v>82</v>
      </c>
      <c r="D431" s="211" t="s">
        <v>82</v>
      </c>
      <c r="E431" s="172"/>
      <c r="F431" s="207" t="str">
        <f t="shared" si="18"/>
        <v/>
      </c>
      <c r="G431" s="207" t="str">
        <f t="shared" si="19"/>
        <v/>
      </c>
    </row>
    <row r="432" spans="1:7" x14ac:dyDescent="0.35">
      <c r="A432" s="329" t="s">
        <v>2064</v>
      </c>
      <c r="B432" s="166" t="s">
        <v>579</v>
      </c>
      <c r="C432" s="208" t="s">
        <v>82</v>
      </c>
      <c r="D432" s="211" t="s">
        <v>82</v>
      </c>
      <c r="E432" s="172"/>
      <c r="F432" s="207" t="str">
        <f t="shared" si="18"/>
        <v/>
      </c>
      <c r="G432" s="207" t="str">
        <f t="shared" si="19"/>
        <v/>
      </c>
    </row>
    <row r="433" spans="1:7" x14ac:dyDescent="0.35">
      <c r="A433" s="329" t="s">
        <v>2065</v>
      </c>
      <c r="B433" s="166" t="s">
        <v>579</v>
      </c>
      <c r="C433" s="208" t="s">
        <v>82</v>
      </c>
      <c r="D433" s="211" t="s">
        <v>82</v>
      </c>
      <c r="E433" s="172"/>
      <c r="F433" s="207" t="str">
        <f t="shared" si="18"/>
        <v/>
      </c>
      <c r="G433" s="207" t="str">
        <f t="shared" si="19"/>
        <v/>
      </c>
    </row>
    <row r="434" spans="1:7" x14ac:dyDescent="0.35">
      <c r="A434" s="329" t="s">
        <v>2066</v>
      </c>
      <c r="B434" s="166" t="s">
        <v>579</v>
      </c>
      <c r="C434" s="208" t="s">
        <v>82</v>
      </c>
      <c r="D434" s="211" t="s">
        <v>82</v>
      </c>
      <c r="E434" s="172"/>
      <c r="F434" s="207" t="str">
        <f t="shared" si="18"/>
        <v/>
      </c>
      <c r="G434" s="207" t="str">
        <f t="shared" si="19"/>
        <v/>
      </c>
    </row>
    <row r="435" spans="1:7" x14ac:dyDescent="0.35">
      <c r="A435" s="329" t="s">
        <v>2067</v>
      </c>
      <c r="B435" s="166" t="s">
        <v>579</v>
      </c>
      <c r="C435" s="208" t="s">
        <v>82</v>
      </c>
      <c r="D435" s="211" t="s">
        <v>82</v>
      </c>
      <c r="E435" s="172"/>
      <c r="F435" s="207" t="str">
        <f t="shared" si="18"/>
        <v/>
      </c>
      <c r="G435" s="207" t="str">
        <f t="shared" si="19"/>
        <v/>
      </c>
    </row>
    <row r="436" spans="1:7" x14ac:dyDescent="0.35">
      <c r="A436" s="329" t="s">
        <v>2068</v>
      </c>
      <c r="B436" s="235" t="s">
        <v>579</v>
      </c>
      <c r="C436" s="208" t="s">
        <v>82</v>
      </c>
      <c r="D436" s="211" t="s">
        <v>82</v>
      </c>
      <c r="E436" s="172"/>
      <c r="F436" s="207" t="str">
        <f t="shared" si="18"/>
        <v/>
      </c>
      <c r="G436" s="207" t="str">
        <f t="shared" si="19"/>
        <v/>
      </c>
    </row>
    <row r="437" spans="1:7" x14ac:dyDescent="0.35">
      <c r="A437" s="329" t="s">
        <v>2320</v>
      </c>
      <c r="B437" s="166" t="s">
        <v>579</v>
      </c>
      <c r="C437" s="208" t="s">
        <v>82</v>
      </c>
      <c r="D437" s="211" t="s">
        <v>82</v>
      </c>
      <c r="E437" s="166"/>
      <c r="F437" s="207" t="str">
        <f t="shared" si="18"/>
        <v/>
      </c>
      <c r="G437" s="207" t="str">
        <f t="shared" si="19"/>
        <v/>
      </c>
    </row>
    <row r="438" spans="1:7" x14ac:dyDescent="0.35">
      <c r="A438" s="329" t="s">
        <v>2321</v>
      </c>
      <c r="B438" s="166" t="s">
        <v>579</v>
      </c>
      <c r="C438" s="208" t="s">
        <v>82</v>
      </c>
      <c r="D438" s="211" t="s">
        <v>82</v>
      </c>
      <c r="E438" s="166"/>
      <c r="F438" s="207" t="str">
        <f t="shared" si="18"/>
        <v/>
      </c>
      <c r="G438" s="207" t="str">
        <f t="shared" si="19"/>
        <v/>
      </c>
    </row>
    <row r="439" spans="1:7" x14ac:dyDescent="0.35">
      <c r="A439" s="329" t="s">
        <v>2322</v>
      </c>
      <c r="B439" s="166" t="s">
        <v>579</v>
      </c>
      <c r="C439" s="208" t="s">
        <v>82</v>
      </c>
      <c r="D439" s="211" t="s">
        <v>82</v>
      </c>
      <c r="E439" s="166"/>
      <c r="F439" s="207" t="str">
        <f t="shared" si="18"/>
        <v/>
      </c>
      <c r="G439" s="207" t="str">
        <f t="shared" si="19"/>
        <v/>
      </c>
    </row>
    <row r="440" spans="1:7" x14ac:dyDescent="0.35">
      <c r="A440" s="329" t="s">
        <v>2323</v>
      </c>
      <c r="B440" s="166" t="s">
        <v>579</v>
      </c>
      <c r="C440" s="208" t="s">
        <v>82</v>
      </c>
      <c r="D440" s="211" t="s">
        <v>82</v>
      </c>
      <c r="E440" s="166"/>
      <c r="F440" s="207" t="str">
        <f t="shared" si="18"/>
        <v/>
      </c>
      <c r="G440" s="207" t="str">
        <f t="shared" si="19"/>
        <v/>
      </c>
    </row>
    <row r="441" spans="1:7" x14ac:dyDescent="0.35">
      <c r="A441" s="329" t="s">
        <v>2324</v>
      </c>
      <c r="B441" s="166" t="s">
        <v>579</v>
      </c>
      <c r="C441" s="208" t="s">
        <v>82</v>
      </c>
      <c r="D441" s="211" t="s">
        <v>82</v>
      </c>
      <c r="E441" s="166"/>
      <c r="F441" s="207" t="str">
        <f t="shared" si="18"/>
        <v/>
      </c>
      <c r="G441" s="207" t="str">
        <f t="shared" si="19"/>
        <v/>
      </c>
    </row>
    <row r="442" spans="1:7" x14ac:dyDescent="0.35">
      <c r="A442" s="329" t="s">
        <v>2325</v>
      </c>
      <c r="B442" s="166" t="s">
        <v>579</v>
      </c>
      <c r="C442" s="208" t="s">
        <v>82</v>
      </c>
      <c r="D442" s="211" t="s">
        <v>82</v>
      </c>
      <c r="E442" s="166"/>
      <c r="F442" s="207" t="str">
        <f t="shared" si="18"/>
        <v/>
      </c>
      <c r="G442" s="207" t="str">
        <f t="shared" si="19"/>
        <v/>
      </c>
    </row>
    <row r="443" spans="1:7" x14ac:dyDescent="0.35">
      <c r="A443" s="329" t="s">
        <v>2326</v>
      </c>
      <c r="B443" s="166" t="s">
        <v>579</v>
      </c>
      <c r="C443" s="208" t="s">
        <v>82</v>
      </c>
      <c r="D443" s="211" t="s">
        <v>82</v>
      </c>
      <c r="F443" s="207" t="str">
        <f t="shared" si="18"/>
        <v/>
      </c>
      <c r="G443" s="207" t="str">
        <f t="shared" si="19"/>
        <v/>
      </c>
    </row>
    <row r="444" spans="1:7" x14ac:dyDescent="0.35">
      <c r="A444" s="329" t="s">
        <v>2327</v>
      </c>
      <c r="B444" s="166" t="s">
        <v>579</v>
      </c>
      <c r="C444" s="208" t="s">
        <v>82</v>
      </c>
      <c r="D444" s="211" t="s">
        <v>82</v>
      </c>
      <c r="E444" s="161"/>
      <c r="F444" s="207" t="str">
        <f t="shared" si="18"/>
        <v/>
      </c>
      <c r="G444" s="207" t="str">
        <f t="shared" si="19"/>
        <v/>
      </c>
    </row>
    <row r="445" spans="1:7" x14ac:dyDescent="0.35">
      <c r="A445" s="329" t="s">
        <v>2328</v>
      </c>
      <c r="B445" s="166" t="s">
        <v>579</v>
      </c>
      <c r="C445" s="208" t="s">
        <v>82</v>
      </c>
      <c r="D445" s="211" t="s">
        <v>82</v>
      </c>
      <c r="E445" s="161"/>
      <c r="F445" s="207" t="str">
        <f t="shared" si="18"/>
        <v/>
      </c>
      <c r="G445" s="207" t="str">
        <f t="shared" si="19"/>
        <v/>
      </c>
    </row>
    <row r="446" spans="1:7" x14ac:dyDescent="0.35">
      <c r="A446" s="329" t="s">
        <v>2329</v>
      </c>
      <c r="B446" s="166" t="s">
        <v>579</v>
      </c>
      <c r="C446" s="208" t="s">
        <v>82</v>
      </c>
      <c r="D446" s="211" t="s">
        <v>82</v>
      </c>
      <c r="E446" s="161"/>
      <c r="F446" s="207" t="str">
        <f t="shared" si="18"/>
        <v/>
      </c>
      <c r="G446" s="207" t="str">
        <f t="shared" si="19"/>
        <v/>
      </c>
    </row>
    <row r="447" spans="1:7" x14ac:dyDescent="0.35">
      <c r="A447" s="329" t="s">
        <v>2330</v>
      </c>
      <c r="B447" s="166" t="s">
        <v>579</v>
      </c>
      <c r="C447" s="208" t="s">
        <v>82</v>
      </c>
      <c r="D447" s="211" t="s">
        <v>82</v>
      </c>
      <c r="E447" s="161"/>
      <c r="F447" s="207" t="str">
        <f t="shared" si="18"/>
        <v/>
      </c>
      <c r="G447" s="207" t="str">
        <f t="shared" si="19"/>
        <v/>
      </c>
    </row>
    <row r="448" spans="1:7" x14ac:dyDescent="0.35">
      <c r="A448" s="329" t="s">
        <v>2331</v>
      </c>
      <c r="B448" s="166" t="s">
        <v>579</v>
      </c>
      <c r="C448" s="208" t="s">
        <v>82</v>
      </c>
      <c r="D448" s="211" t="s">
        <v>82</v>
      </c>
      <c r="E448" s="161"/>
      <c r="F448" s="207" t="str">
        <f t="shared" si="18"/>
        <v/>
      </c>
      <c r="G448" s="207" t="str">
        <f t="shared" si="19"/>
        <v/>
      </c>
    </row>
    <row r="449" spans="1:7" x14ac:dyDescent="0.35">
      <c r="A449" s="329" t="s">
        <v>2332</v>
      </c>
      <c r="B449" s="166" t="s">
        <v>579</v>
      </c>
      <c r="C449" s="208" t="s">
        <v>82</v>
      </c>
      <c r="D449" s="211" t="s">
        <v>82</v>
      </c>
      <c r="E449" s="161"/>
      <c r="F449" s="207" t="str">
        <f t="shared" si="18"/>
        <v/>
      </c>
      <c r="G449" s="207" t="str">
        <f t="shared" si="19"/>
        <v/>
      </c>
    </row>
    <row r="450" spans="1:7" x14ac:dyDescent="0.35">
      <c r="A450" s="329" t="s">
        <v>2333</v>
      </c>
      <c r="B450" s="166" t="s">
        <v>579</v>
      </c>
      <c r="C450" s="208" t="s">
        <v>82</v>
      </c>
      <c r="D450" s="211" t="s">
        <v>82</v>
      </c>
      <c r="E450" s="161"/>
      <c r="F450" s="207" t="str">
        <f t="shared" si="18"/>
        <v/>
      </c>
      <c r="G450" s="207" t="str">
        <f t="shared" si="19"/>
        <v/>
      </c>
    </row>
    <row r="451" spans="1:7" x14ac:dyDescent="0.35">
      <c r="A451" s="329" t="s">
        <v>2334</v>
      </c>
      <c r="B451" s="166" t="s">
        <v>579</v>
      </c>
      <c r="C451" s="208" t="s">
        <v>82</v>
      </c>
      <c r="D451" s="211" t="s">
        <v>82</v>
      </c>
      <c r="E451" s="161"/>
      <c r="F451" s="207" t="str">
        <f t="shared" si="18"/>
        <v/>
      </c>
      <c r="G451" s="207" t="str">
        <f t="shared" si="19"/>
        <v/>
      </c>
    </row>
    <row r="452" spans="1:7" x14ac:dyDescent="0.35">
      <c r="A452" s="329" t="s">
        <v>2335</v>
      </c>
      <c r="B452" s="235" t="s">
        <v>145</v>
      </c>
      <c r="C452" s="214">
        <f>SUM(C428:C451)</f>
        <v>0</v>
      </c>
      <c r="D452" s="212">
        <f>SUM(D428:D451)</f>
        <v>0</v>
      </c>
      <c r="E452" s="161"/>
      <c r="F452" s="213">
        <f>SUM(F428:F451)</f>
        <v>0</v>
      </c>
      <c r="G452" s="213">
        <f>SUM(G428:G451)</f>
        <v>0</v>
      </c>
    </row>
    <row r="453" spans="1:7" ht="15" customHeight="1" x14ac:dyDescent="0.35">
      <c r="A453" s="156"/>
      <c r="B453" s="156" t="s">
        <v>2336</v>
      </c>
      <c r="C453" s="156" t="s">
        <v>656</v>
      </c>
      <c r="D453" s="156" t="s">
        <v>657</v>
      </c>
      <c r="E453" s="156"/>
      <c r="F453" s="156" t="s">
        <v>487</v>
      </c>
      <c r="G453" s="156" t="s">
        <v>658</v>
      </c>
    </row>
    <row r="454" spans="1:7" x14ac:dyDescent="0.35">
      <c r="A454" s="329" t="s">
        <v>2069</v>
      </c>
      <c r="B454" s="145" t="s">
        <v>689</v>
      </c>
      <c r="C454" s="179" t="s">
        <v>82</v>
      </c>
      <c r="G454" s="145"/>
    </row>
    <row r="455" spans="1:7" x14ac:dyDescent="0.35">
      <c r="A455" s="329"/>
      <c r="G455" s="145"/>
    </row>
    <row r="456" spans="1:7" x14ac:dyDescent="0.35">
      <c r="A456" s="329"/>
      <c r="B456" s="166" t="s">
        <v>690</v>
      </c>
      <c r="G456" s="145"/>
    </row>
    <row r="457" spans="1:7" x14ac:dyDescent="0.35">
      <c r="A457" s="329" t="s">
        <v>2070</v>
      </c>
      <c r="B457" s="145" t="s">
        <v>692</v>
      </c>
      <c r="C457" s="208" t="s">
        <v>82</v>
      </c>
      <c r="D457" s="211" t="s">
        <v>82</v>
      </c>
      <c r="F457" s="207" t="str">
        <f>IF($C$465=0,"",IF(C457="[for completion]","",C457/$C$465))</f>
        <v/>
      </c>
      <c r="G457" s="207" t="str">
        <f>IF($D$465=0,"",IF(D457="[for completion]","",D457/$D$465))</f>
        <v/>
      </c>
    </row>
    <row r="458" spans="1:7" x14ac:dyDescent="0.35">
      <c r="A458" s="329" t="s">
        <v>2071</v>
      </c>
      <c r="B458" s="145" t="s">
        <v>694</v>
      </c>
      <c r="C458" s="208" t="s">
        <v>82</v>
      </c>
      <c r="D458" s="211" t="s">
        <v>82</v>
      </c>
      <c r="F458" s="207" t="str">
        <f t="shared" ref="F458:F471" si="20">IF($C$465=0,"",IF(C458="[for completion]","",C458/$C$465))</f>
        <v/>
      </c>
      <c r="G458" s="207" t="str">
        <f t="shared" ref="G458:G471" si="21">IF($D$465=0,"",IF(D458="[for completion]","",D458/$D$465))</f>
        <v/>
      </c>
    </row>
    <row r="459" spans="1:7" x14ac:dyDescent="0.35">
      <c r="A459" s="329" t="s">
        <v>2072</v>
      </c>
      <c r="B459" s="145" t="s">
        <v>696</v>
      </c>
      <c r="C459" s="208" t="s">
        <v>82</v>
      </c>
      <c r="D459" s="211" t="s">
        <v>82</v>
      </c>
      <c r="F459" s="207" t="str">
        <f t="shared" si="20"/>
        <v/>
      </c>
      <c r="G459" s="207" t="str">
        <f t="shared" si="21"/>
        <v/>
      </c>
    </row>
    <row r="460" spans="1:7" x14ac:dyDescent="0.35">
      <c r="A460" s="329" t="s">
        <v>2073</v>
      </c>
      <c r="B460" s="145" t="s">
        <v>698</v>
      </c>
      <c r="C460" s="208" t="s">
        <v>82</v>
      </c>
      <c r="D460" s="211" t="s">
        <v>82</v>
      </c>
      <c r="F460" s="207" t="str">
        <f t="shared" si="20"/>
        <v/>
      </c>
      <c r="G460" s="207" t="str">
        <f t="shared" si="21"/>
        <v/>
      </c>
    </row>
    <row r="461" spans="1:7" x14ac:dyDescent="0.35">
      <c r="A461" s="329" t="s">
        <v>2074</v>
      </c>
      <c r="B461" s="145" t="s">
        <v>700</v>
      </c>
      <c r="C461" s="208" t="s">
        <v>82</v>
      </c>
      <c r="D461" s="211" t="s">
        <v>82</v>
      </c>
      <c r="F461" s="207" t="str">
        <f t="shared" si="20"/>
        <v/>
      </c>
      <c r="G461" s="207" t="str">
        <f t="shared" si="21"/>
        <v/>
      </c>
    </row>
    <row r="462" spans="1:7" x14ac:dyDescent="0.35">
      <c r="A462" s="329" t="s">
        <v>2075</v>
      </c>
      <c r="B462" s="145" t="s">
        <v>702</v>
      </c>
      <c r="C462" s="208" t="s">
        <v>82</v>
      </c>
      <c r="D462" s="211" t="s">
        <v>82</v>
      </c>
      <c r="F462" s="207" t="str">
        <f t="shared" si="20"/>
        <v/>
      </c>
      <c r="G462" s="207" t="str">
        <f t="shared" si="21"/>
        <v/>
      </c>
    </row>
    <row r="463" spans="1:7" x14ac:dyDescent="0.35">
      <c r="A463" s="329" t="s">
        <v>2076</v>
      </c>
      <c r="B463" s="145" t="s">
        <v>704</v>
      </c>
      <c r="C463" s="208" t="s">
        <v>82</v>
      </c>
      <c r="D463" s="211" t="s">
        <v>82</v>
      </c>
      <c r="F463" s="207" t="str">
        <f t="shared" si="20"/>
        <v/>
      </c>
      <c r="G463" s="207" t="str">
        <f t="shared" si="21"/>
        <v/>
      </c>
    </row>
    <row r="464" spans="1:7" x14ac:dyDescent="0.35">
      <c r="A464" s="329" t="s">
        <v>2077</v>
      </c>
      <c r="B464" s="145" t="s">
        <v>706</v>
      </c>
      <c r="C464" s="208" t="s">
        <v>82</v>
      </c>
      <c r="D464" s="211" t="s">
        <v>82</v>
      </c>
      <c r="F464" s="207" t="str">
        <f t="shared" si="20"/>
        <v/>
      </c>
      <c r="G464" s="207" t="str">
        <f t="shared" si="21"/>
        <v/>
      </c>
    </row>
    <row r="465" spans="1:7" x14ac:dyDescent="0.35">
      <c r="A465" s="329" t="s">
        <v>2078</v>
      </c>
      <c r="B465" s="175" t="s">
        <v>145</v>
      </c>
      <c r="C465" s="208">
        <f>SUM(C457:C464)</f>
        <v>0</v>
      </c>
      <c r="D465" s="211">
        <f>SUM(D457:D464)</f>
        <v>0</v>
      </c>
      <c r="F465" s="179">
        <f>SUM(F457:F464)</f>
        <v>0</v>
      </c>
      <c r="G465" s="179">
        <f>SUM(G457:G464)</f>
        <v>0</v>
      </c>
    </row>
    <row r="466" spans="1:7" outlineLevel="1" x14ac:dyDescent="0.35">
      <c r="A466" s="329" t="s">
        <v>2079</v>
      </c>
      <c r="B466" s="162" t="s">
        <v>709</v>
      </c>
      <c r="C466" s="208"/>
      <c r="D466" s="211"/>
      <c r="F466" s="207" t="str">
        <f t="shared" si="20"/>
        <v/>
      </c>
      <c r="G466" s="207" t="str">
        <f t="shared" si="21"/>
        <v/>
      </c>
    </row>
    <row r="467" spans="1:7" outlineLevel="1" x14ac:dyDescent="0.35">
      <c r="A467" s="329" t="s">
        <v>2080</v>
      </c>
      <c r="B467" s="162" t="s">
        <v>711</v>
      </c>
      <c r="C467" s="208"/>
      <c r="D467" s="211"/>
      <c r="F467" s="207" t="str">
        <f t="shared" si="20"/>
        <v/>
      </c>
      <c r="G467" s="207" t="str">
        <f t="shared" si="21"/>
        <v/>
      </c>
    </row>
    <row r="468" spans="1:7" outlineLevel="1" x14ac:dyDescent="0.35">
      <c r="A468" s="329" t="s">
        <v>2081</v>
      </c>
      <c r="B468" s="162" t="s">
        <v>713</v>
      </c>
      <c r="C468" s="208"/>
      <c r="D468" s="211"/>
      <c r="F468" s="207" t="str">
        <f t="shared" si="20"/>
        <v/>
      </c>
      <c r="G468" s="207" t="str">
        <f t="shared" si="21"/>
        <v/>
      </c>
    </row>
    <row r="469" spans="1:7" outlineLevel="1" x14ac:dyDescent="0.35">
      <c r="A469" s="329" t="s">
        <v>2082</v>
      </c>
      <c r="B469" s="162" t="s">
        <v>715</v>
      </c>
      <c r="C469" s="208"/>
      <c r="D469" s="211"/>
      <c r="F469" s="207" t="str">
        <f t="shared" si="20"/>
        <v/>
      </c>
      <c r="G469" s="207" t="str">
        <f t="shared" si="21"/>
        <v/>
      </c>
    </row>
    <row r="470" spans="1:7" outlineLevel="1" x14ac:dyDescent="0.35">
      <c r="A470" s="329" t="s">
        <v>2083</v>
      </c>
      <c r="B470" s="162" t="s">
        <v>717</v>
      </c>
      <c r="C470" s="208"/>
      <c r="D470" s="211"/>
      <c r="F470" s="207" t="str">
        <f t="shared" si="20"/>
        <v/>
      </c>
      <c r="G470" s="207" t="str">
        <f t="shared" si="21"/>
        <v/>
      </c>
    </row>
    <row r="471" spans="1:7" outlineLevel="1" x14ac:dyDescent="0.35">
      <c r="A471" s="329" t="s">
        <v>2084</v>
      </c>
      <c r="B471" s="162" t="s">
        <v>719</v>
      </c>
      <c r="C471" s="208"/>
      <c r="D471" s="211"/>
      <c r="F471" s="207" t="str">
        <f t="shared" si="20"/>
        <v/>
      </c>
      <c r="G471" s="207" t="str">
        <f t="shared" si="21"/>
        <v/>
      </c>
    </row>
    <row r="472" spans="1:7" outlineLevel="1" x14ac:dyDescent="0.35">
      <c r="A472" s="329" t="s">
        <v>2085</v>
      </c>
      <c r="B472" s="162"/>
      <c r="F472" s="159"/>
      <c r="G472" s="159"/>
    </row>
    <row r="473" spans="1:7" outlineLevel="1" x14ac:dyDescent="0.35">
      <c r="A473" s="329" t="s">
        <v>2086</v>
      </c>
      <c r="B473" s="162"/>
      <c r="F473" s="159"/>
      <c r="G473" s="159"/>
    </row>
    <row r="474" spans="1:7" outlineLevel="1" x14ac:dyDescent="0.35">
      <c r="A474" s="329" t="s">
        <v>2087</v>
      </c>
      <c r="B474" s="162"/>
      <c r="F474" s="161"/>
      <c r="G474" s="161"/>
    </row>
    <row r="475" spans="1:7" ht="15" customHeight="1" x14ac:dyDescent="0.35">
      <c r="A475" s="156"/>
      <c r="B475" s="156" t="s">
        <v>2404</v>
      </c>
      <c r="C475" s="156" t="s">
        <v>656</v>
      </c>
      <c r="D475" s="156" t="s">
        <v>657</v>
      </c>
      <c r="E475" s="156"/>
      <c r="F475" s="156" t="s">
        <v>487</v>
      </c>
      <c r="G475" s="156" t="s">
        <v>658</v>
      </c>
    </row>
    <row r="476" spans="1:7" x14ac:dyDescent="0.35">
      <c r="A476" s="329" t="s">
        <v>2179</v>
      </c>
      <c r="B476" s="145" t="s">
        <v>689</v>
      </c>
      <c r="C476" s="179" t="s">
        <v>117</v>
      </c>
      <c r="G476" s="145"/>
    </row>
    <row r="477" spans="1:7" x14ac:dyDescent="0.35">
      <c r="A477" s="329"/>
      <c r="G477" s="145"/>
    </row>
    <row r="478" spans="1:7" x14ac:dyDescent="0.35">
      <c r="A478" s="329"/>
      <c r="B478" s="166" t="s">
        <v>690</v>
      </c>
      <c r="G478" s="145"/>
    </row>
    <row r="479" spans="1:7" x14ac:dyDescent="0.35">
      <c r="A479" s="329" t="s">
        <v>2180</v>
      </c>
      <c r="B479" s="145" t="s">
        <v>692</v>
      </c>
      <c r="C479" s="208" t="s">
        <v>117</v>
      </c>
      <c r="D479" s="211" t="s">
        <v>117</v>
      </c>
      <c r="F479" s="207" t="str">
        <f>IF($C$487=0,"",IF(C479="[Mark as ND1 if not relevant]","",C479/$C$487))</f>
        <v/>
      </c>
      <c r="G479" s="207" t="str">
        <f>IF($D$487=0,"",IF(D479="[Mark as ND1 if not relevant]","",D479/$D$487))</f>
        <v/>
      </c>
    </row>
    <row r="480" spans="1:7" x14ac:dyDescent="0.35">
      <c r="A480" s="329" t="s">
        <v>2181</v>
      </c>
      <c r="B480" s="145" t="s">
        <v>694</v>
      </c>
      <c r="C480" s="208" t="s">
        <v>117</v>
      </c>
      <c r="D480" s="211" t="s">
        <v>117</v>
      </c>
      <c r="F480" s="207" t="str">
        <f t="shared" ref="F480:F486" si="22">IF($C$487=0,"",IF(C480="[Mark as ND1 if not relevant]","",C480/$C$487))</f>
        <v/>
      </c>
      <c r="G480" s="207" t="str">
        <f t="shared" ref="G480:G486" si="23">IF($D$487=0,"",IF(D480="[Mark as ND1 if not relevant]","",D480/$D$487))</f>
        <v/>
      </c>
    </row>
    <row r="481" spans="1:7" x14ac:dyDescent="0.35">
      <c r="A481" s="329" t="s">
        <v>2182</v>
      </c>
      <c r="B481" s="145" t="s">
        <v>696</v>
      </c>
      <c r="C481" s="208" t="s">
        <v>117</v>
      </c>
      <c r="D481" s="211" t="s">
        <v>117</v>
      </c>
      <c r="F481" s="207" t="str">
        <f t="shared" si="22"/>
        <v/>
      </c>
      <c r="G481" s="207" t="str">
        <f t="shared" si="23"/>
        <v/>
      </c>
    </row>
    <row r="482" spans="1:7" x14ac:dyDescent="0.35">
      <c r="A482" s="329" t="s">
        <v>2183</v>
      </c>
      <c r="B482" s="145" t="s">
        <v>698</v>
      </c>
      <c r="C482" s="208" t="s">
        <v>117</v>
      </c>
      <c r="D482" s="211" t="s">
        <v>117</v>
      </c>
      <c r="F482" s="207" t="str">
        <f t="shared" si="22"/>
        <v/>
      </c>
      <c r="G482" s="207" t="str">
        <f t="shared" si="23"/>
        <v/>
      </c>
    </row>
    <row r="483" spans="1:7" x14ac:dyDescent="0.35">
      <c r="A483" s="329" t="s">
        <v>2184</v>
      </c>
      <c r="B483" s="145" t="s">
        <v>700</v>
      </c>
      <c r="C483" s="208" t="s">
        <v>117</v>
      </c>
      <c r="D483" s="211" t="s">
        <v>117</v>
      </c>
      <c r="F483" s="207" t="str">
        <f t="shared" si="22"/>
        <v/>
      </c>
      <c r="G483" s="207" t="str">
        <f t="shared" si="23"/>
        <v/>
      </c>
    </row>
    <row r="484" spans="1:7" x14ac:dyDescent="0.35">
      <c r="A484" s="329" t="s">
        <v>2185</v>
      </c>
      <c r="B484" s="145" t="s">
        <v>702</v>
      </c>
      <c r="C484" s="208" t="s">
        <v>117</v>
      </c>
      <c r="D484" s="211" t="s">
        <v>117</v>
      </c>
      <c r="F484" s="207" t="str">
        <f t="shared" si="22"/>
        <v/>
      </c>
      <c r="G484" s="207" t="str">
        <f t="shared" si="23"/>
        <v/>
      </c>
    </row>
    <row r="485" spans="1:7" x14ac:dyDescent="0.35">
      <c r="A485" s="329" t="s">
        <v>2186</v>
      </c>
      <c r="B485" s="145" t="s">
        <v>704</v>
      </c>
      <c r="C485" s="208" t="s">
        <v>117</v>
      </c>
      <c r="D485" s="211" t="s">
        <v>117</v>
      </c>
      <c r="F485" s="207" t="str">
        <f t="shared" si="22"/>
        <v/>
      </c>
      <c r="G485" s="207" t="str">
        <f t="shared" si="23"/>
        <v/>
      </c>
    </row>
    <row r="486" spans="1:7" x14ac:dyDescent="0.35">
      <c r="A486" s="329" t="s">
        <v>2187</v>
      </c>
      <c r="B486" s="145" t="s">
        <v>706</v>
      </c>
      <c r="C486" s="208" t="s">
        <v>117</v>
      </c>
      <c r="D486" s="211" t="s">
        <v>117</v>
      </c>
      <c r="F486" s="207" t="str">
        <f t="shared" si="22"/>
        <v/>
      </c>
      <c r="G486" s="207" t="str">
        <f t="shared" si="23"/>
        <v/>
      </c>
    </row>
    <row r="487" spans="1:7" x14ac:dyDescent="0.35">
      <c r="A487" s="329" t="s">
        <v>2188</v>
      </c>
      <c r="B487" s="175" t="s">
        <v>145</v>
      </c>
      <c r="C487" s="208">
        <f>SUM(C479:C486)</f>
        <v>0</v>
      </c>
      <c r="D487" s="211">
        <f>SUM(D479:D486)</f>
        <v>0</v>
      </c>
      <c r="F487" s="179">
        <f>SUM(F479:F486)</f>
        <v>0</v>
      </c>
      <c r="G487" s="179">
        <f>SUM(G479:G486)</f>
        <v>0</v>
      </c>
    </row>
    <row r="488" spans="1:7" outlineLevel="1" x14ac:dyDescent="0.35">
      <c r="A488" s="329" t="s">
        <v>2189</v>
      </c>
      <c r="B488" s="162" t="s">
        <v>709</v>
      </c>
      <c r="C488" s="208"/>
      <c r="D488" s="211"/>
      <c r="F488" s="207" t="str">
        <f t="shared" ref="F488:F493" si="24">IF($C$487=0,"",IF(C488="[for completion]","",C488/$C$487))</f>
        <v/>
      </c>
      <c r="G488" s="207" t="str">
        <f t="shared" ref="G488:G493" si="25">IF($D$487=0,"",IF(D488="[for completion]","",D488/$D$487))</f>
        <v/>
      </c>
    </row>
    <row r="489" spans="1:7" outlineLevel="1" x14ac:dyDescent="0.35">
      <c r="A489" s="329" t="s">
        <v>2190</v>
      </c>
      <c r="B489" s="162" t="s">
        <v>711</v>
      </c>
      <c r="C489" s="208"/>
      <c r="D489" s="211"/>
      <c r="F489" s="207" t="str">
        <f t="shared" si="24"/>
        <v/>
      </c>
      <c r="G489" s="207" t="str">
        <f t="shared" si="25"/>
        <v/>
      </c>
    </row>
    <row r="490" spans="1:7" outlineLevel="1" x14ac:dyDescent="0.35">
      <c r="A490" s="329" t="s">
        <v>2191</v>
      </c>
      <c r="B490" s="162" t="s">
        <v>713</v>
      </c>
      <c r="C490" s="208"/>
      <c r="D490" s="211"/>
      <c r="F490" s="207" t="str">
        <f t="shared" si="24"/>
        <v/>
      </c>
      <c r="G490" s="207" t="str">
        <f t="shared" si="25"/>
        <v/>
      </c>
    </row>
    <row r="491" spans="1:7" outlineLevel="1" x14ac:dyDescent="0.35">
      <c r="A491" s="329" t="s">
        <v>2192</v>
      </c>
      <c r="B491" s="162" t="s">
        <v>715</v>
      </c>
      <c r="C491" s="208"/>
      <c r="D491" s="211"/>
      <c r="F491" s="207" t="str">
        <f t="shared" si="24"/>
        <v/>
      </c>
      <c r="G491" s="207" t="str">
        <f t="shared" si="25"/>
        <v/>
      </c>
    </row>
    <row r="492" spans="1:7" outlineLevel="1" x14ac:dyDescent="0.35">
      <c r="A492" s="329" t="s">
        <v>2193</v>
      </c>
      <c r="B492" s="162" t="s">
        <v>717</v>
      </c>
      <c r="C492" s="208"/>
      <c r="D492" s="211"/>
      <c r="F492" s="207" t="str">
        <f t="shared" si="24"/>
        <v/>
      </c>
      <c r="G492" s="207" t="str">
        <f t="shared" si="25"/>
        <v/>
      </c>
    </row>
    <row r="493" spans="1:7" outlineLevel="1" x14ac:dyDescent="0.35">
      <c r="A493" s="329" t="s">
        <v>2194</v>
      </c>
      <c r="B493" s="162" t="s">
        <v>719</v>
      </c>
      <c r="C493" s="208"/>
      <c r="D493" s="211"/>
      <c r="F493" s="207" t="str">
        <f t="shared" si="24"/>
        <v/>
      </c>
      <c r="G493" s="207" t="str">
        <f t="shared" si="25"/>
        <v/>
      </c>
    </row>
    <row r="494" spans="1:7" outlineLevel="1" x14ac:dyDescent="0.35">
      <c r="A494" s="329" t="s">
        <v>2195</v>
      </c>
      <c r="B494" s="162"/>
      <c r="F494" s="207"/>
      <c r="G494" s="207"/>
    </row>
    <row r="495" spans="1:7" outlineLevel="1" x14ac:dyDescent="0.35">
      <c r="A495" s="329" t="s">
        <v>2196</v>
      </c>
      <c r="B495" s="162"/>
      <c r="F495" s="207"/>
      <c r="G495" s="207"/>
    </row>
    <row r="496" spans="1:7" outlineLevel="1" x14ac:dyDescent="0.35">
      <c r="A496" s="329" t="s">
        <v>2197</v>
      </c>
      <c r="B496" s="162"/>
      <c r="F496" s="207"/>
      <c r="G496" s="179"/>
    </row>
    <row r="497" spans="1:7" ht="15" customHeight="1" x14ac:dyDescent="0.35">
      <c r="A497" s="156"/>
      <c r="B497" s="156" t="s">
        <v>2405</v>
      </c>
      <c r="C497" s="156" t="s">
        <v>776</v>
      </c>
      <c r="D497" s="156"/>
      <c r="E497" s="156"/>
      <c r="F497" s="156"/>
      <c r="G497" s="158"/>
    </row>
    <row r="498" spans="1:7" x14ac:dyDescent="0.35">
      <c r="A498" s="329" t="s">
        <v>2463</v>
      </c>
      <c r="B498" s="166" t="s">
        <v>777</v>
      </c>
      <c r="C498" s="179" t="s">
        <v>82</v>
      </c>
      <c r="G498" s="145"/>
    </row>
    <row r="499" spans="1:7" x14ac:dyDescent="0.35">
      <c r="A499" s="329" t="s">
        <v>2464</v>
      </c>
      <c r="B499" s="166" t="s">
        <v>778</v>
      </c>
      <c r="C499" s="179" t="s">
        <v>82</v>
      </c>
      <c r="G499" s="145"/>
    </row>
    <row r="500" spans="1:7" x14ac:dyDescent="0.35">
      <c r="A500" s="329" t="s">
        <v>2465</v>
      </c>
      <c r="B500" s="166" t="s">
        <v>779</v>
      </c>
      <c r="C500" s="179" t="s">
        <v>82</v>
      </c>
      <c r="G500" s="145"/>
    </row>
    <row r="501" spans="1:7" x14ac:dyDescent="0.35">
      <c r="A501" s="329" t="s">
        <v>2466</v>
      </c>
      <c r="B501" s="166" t="s">
        <v>780</v>
      </c>
      <c r="C501" s="179" t="s">
        <v>82</v>
      </c>
      <c r="G501" s="145"/>
    </row>
    <row r="502" spans="1:7" x14ac:dyDescent="0.35">
      <c r="A502" s="329" t="s">
        <v>2467</v>
      </c>
      <c r="B502" s="166" t="s">
        <v>781</v>
      </c>
      <c r="C502" s="179" t="s">
        <v>82</v>
      </c>
      <c r="G502" s="145"/>
    </row>
    <row r="503" spans="1:7" x14ac:dyDescent="0.35">
      <c r="A503" s="329" t="s">
        <v>2468</v>
      </c>
      <c r="B503" s="166" t="s">
        <v>782</v>
      </c>
      <c r="C503" s="179" t="s">
        <v>82</v>
      </c>
      <c r="G503" s="145"/>
    </row>
    <row r="504" spans="1:7" x14ac:dyDescent="0.35">
      <c r="A504" s="329" t="s">
        <v>2469</v>
      </c>
      <c r="B504" s="166" t="s">
        <v>783</v>
      </c>
      <c r="C504" s="179" t="s">
        <v>82</v>
      </c>
      <c r="G504" s="145"/>
    </row>
    <row r="505" spans="1:7" s="263" customFormat="1" x14ac:dyDescent="0.35">
      <c r="A505" s="329" t="s">
        <v>2470</v>
      </c>
      <c r="B505" s="235" t="s">
        <v>2212</v>
      </c>
      <c r="C505" s="265" t="s">
        <v>82</v>
      </c>
      <c r="D505" s="264"/>
      <c r="E505" s="264"/>
      <c r="F505" s="264"/>
      <c r="G505" s="264"/>
    </row>
    <row r="506" spans="1:7" s="263" customFormat="1" x14ac:dyDescent="0.35">
      <c r="A506" s="329" t="s">
        <v>2471</v>
      </c>
      <c r="B506" s="235" t="s">
        <v>2213</v>
      </c>
      <c r="C506" s="265" t="s">
        <v>82</v>
      </c>
      <c r="D506" s="264"/>
      <c r="E506" s="264"/>
      <c r="F506" s="264"/>
      <c r="G506" s="264"/>
    </row>
    <row r="507" spans="1:7" s="263" customFormat="1" x14ac:dyDescent="0.35">
      <c r="A507" s="329" t="s">
        <v>2472</v>
      </c>
      <c r="B507" s="235" t="s">
        <v>2214</v>
      </c>
      <c r="C507" s="265" t="s">
        <v>82</v>
      </c>
      <c r="D507" s="264"/>
      <c r="E507" s="264"/>
      <c r="F507" s="264"/>
      <c r="G507" s="264"/>
    </row>
    <row r="508" spans="1:7" x14ac:dyDescent="0.35">
      <c r="A508" s="329" t="s">
        <v>2473</v>
      </c>
      <c r="B508" s="235" t="s">
        <v>784</v>
      </c>
      <c r="C508" s="179" t="s">
        <v>82</v>
      </c>
      <c r="G508" s="145"/>
    </row>
    <row r="509" spans="1:7" x14ac:dyDescent="0.35">
      <c r="A509" s="329" t="s">
        <v>2474</v>
      </c>
      <c r="B509" s="235" t="s">
        <v>785</v>
      </c>
      <c r="C509" s="179" t="s">
        <v>82</v>
      </c>
      <c r="G509" s="145"/>
    </row>
    <row r="510" spans="1:7" x14ac:dyDescent="0.35">
      <c r="A510" s="329" t="s">
        <v>2475</v>
      </c>
      <c r="B510" s="235" t="s">
        <v>143</v>
      </c>
      <c r="C510" s="179" t="s">
        <v>82</v>
      </c>
      <c r="G510" s="145"/>
    </row>
    <row r="511" spans="1:7" outlineLevel="1" x14ac:dyDescent="0.35">
      <c r="A511" s="329" t="s">
        <v>2476</v>
      </c>
      <c r="B511" s="232" t="s">
        <v>2215</v>
      </c>
      <c r="C511" s="179"/>
      <c r="G511" s="145"/>
    </row>
    <row r="512" spans="1:7" outlineLevel="1" x14ac:dyDescent="0.35">
      <c r="A512" s="329" t="s">
        <v>2477</v>
      </c>
      <c r="B512" s="232" t="s">
        <v>147</v>
      </c>
      <c r="C512" s="179"/>
      <c r="G512" s="145"/>
    </row>
    <row r="513" spans="1:7" outlineLevel="1" x14ac:dyDescent="0.35">
      <c r="A513" s="329" t="s">
        <v>2478</v>
      </c>
      <c r="B513" s="162" t="s">
        <v>147</v>
      </c>
      <c r="C513" s="179"/>
      <c r="G513" s="145"/>
    </row>
    <row r="514" spans="1:7" outlineLevel="1" x14ac:dyDescent="0.35">
      <c r="A514" s="329" t="s">
        <v>2479</v>
      </c>
      <c r="B514" s="162" t="s">
        <v>147</v>
      </c>
      <c r="C514" s="179"/>
      <c r="G514" s="145"/>
    </row>
    <row r="515" spans="1:7" outlineLevel="1" x14ac:dyDescent="0.35">
      <c r="A515" s="329" t="s">
        <v>2480</v>
      </c>
      <c r="B515" s="162" t="s">
        <v>147</v>
      </c>
      <c r="C515" s="179"/>
      <c r="G515" s="145"/>
    </row>
    <row r="516" spans="1:7" outlineLevel="1" x14ac:dyDescent="0.35">
      <c r="A516" s="329" t="s">
        <v>2481</v>
      </c>
      <c r="B516" s="162" t="s">
        <v>147</v>
      </c>
      <c r="C516" s="179"/>
      <c r="G516" s="145"/>
    </row>
    <row r="517" spans="1:7" outlineLevel="1" x14ac:dyDescent="0.35">
      <c r="A517" s="329" t="s">
        <v>2482</v>
      </c>
      <c r="B517" s="162" t="s">
        <v>147</v>
      </c>
      <c r="C517" s="179"/>
      <c r="G517" s="145"/>
    </row>
    <row r="518" spans="1:7" outlineLevel="1" x14ac:dyDescent="0.35">
      <c r="A518" s="329" t="s">
        <v>2483</v>
      </c>
      <c r="B518" s="162" t="s">
        <v>147</v>
      </c>
      <c r="C518" s="179"/>
      <c r="G518" s="145"/>
    </row>
    <row r="519" spans="1:7" outlineLevel="1" x14ac:dyDescent="0.35">
      <c r="A519" s="329" t="s">
        <v>2484</v>
      </c>
      <c r="B519" s="162" t="s">
        <v>147</v>
      </c>
      <c r="C519" s="179"/>
      <c r="G519" s="145"/>
    </row>
    <row r="520" spans="1:7" outlineLevel="1" x14ac:dyDescent="0.35">
      <c r="A520" s="329" t="s">
        <v>2485</v>
      </c>
      <c r="B520" s="162" t="s">
        <v>147</v>
      </c>
      <c r="C520" s="179"/>
      <c r="G520" s="145"/>
    </row>
    <row r="521" spans="1:7" outlineLevel="1" x14ac:dyDescent="0.35">
      <c r="A521" s="329" t="s">
        <v>2486</v>
      </c>
      <c r="B521" s="162" t="s">
        <v>147</v>
      </c>
      <c r="C521" s="179"/>
      <c r="G521" s="145"/>
    </row>
    <row r="522" spans="1:7" outlineLevel="1" x14ac:dyDescent="0.35">
      <c r="A522" s="329" t="s">
        <v>2487</v>
      </c>
      <c r="B522" s="162" t="s">
        <v>147</v>
      </c>
      <c r="C522" s="179"/>
    </row>
    <row r="523" spans="1:7" outlineLevel="1" x14ac:dyDescent="0.35">
      <c r="A523" s="329" t="s">
        <v>2488</v>
      </c>
      <c r="B523" s="162" t="s">
        <v>147</v>
      </c>
      <c r="C523" s="179"/>
    </row>
    <row r="524" spans="1:7" outlineLevel="1" x14ac:dyDescent="0.35">
      <c r="A524" s="329" t="s">
        <v>2489</v>
      </c>
      <c r="B524" s="162" t="s">
        <v>147</v>
      </c>
      <c r="C524" s="179"/>
    </row>
    <row r="525" spans="1:7" s="216" customFormat="1" x14ac:dyDescent="0.35">
      <c r="A525" s="192"/>
      <c r="B525" s="192" t="s">
        <v>2490</v>
      </c>
      <c r="C525" s="156" t="s">
        <v>112</v>
      </c>
      <c r="D525" s="156" t="s">
        <v>1645</v>
      </c>
      <c r="E525" s="156"/>
      <c r="F525" s="156" t="s">
        <v>487</v>
      </c>
      <c r="G525" s="156" t="s">
        <v>1954</v>
      </c>
    </row>
    <row r="526" spans="1:7" s="216" customFormat="1" x14ac:dyDescent="0.35">
      <c r="A526" s="329" t="s">
        <v>2556</v>
      </c>
      <c r="B526" s="330" t="s">
        <v>579</v>
      </c>
      <c r="C526" s="301" t="s">
        <v>82</v>
      </c>
      <c r="D526" s="311" t="s">
        <v>82</v>
      </c>
      <c r="E526" s="253"/>
      <c r="F526" s="257" t="str">
        <f>IF($C$544=0,"",IF(C526="[for completion]","",IF(C526="","",C526/$C$544)))</f>
        <v/>
      </c>
      <c r="G526" s="257" t="str">
        <f>IF($D$544=0,"",IF(D526="[for completion]","",IF(D526="","",D526/$D$544)))</f>
        <v/>
      </c>
    </row>
    <row r="527" spans="1:7" s="216" customFormat="1" x14ac:dyDescent="0.35">
      <c r="A527" s="329" t="s">
        <v>2557</v>
      </c>
      <c r="B527" s="252" t="s">
        <v>579</v>
      </c>
      <c r="C527" s="301" t="s">
        <v>82</v>
      </c>
      <c r="D527" s="311" t="s">
        <v>82</v>
      </c>
      <c r="E527" s="253"/>
      <c r="F527" s="257" t="str">
        <f t="shared" ref="F527:F543" si="26">IF($C$544=0,"",IF(C527="[for completion]","",IF(C527="","",C527/$C$544)))</f>
        <v/>
      </c>
      <c r="G527" s="257" t="str">
        <f t="shared" ref="G527:G543" si="27">IF($D$544=0,"",IF(D527="[for completion]","",IF(D527="","",D527/$D$544)))</f>
        <v/>
      </c>
    </row>
    <row r="528" spans="1:7" s="216" customFormat="1" x14ac:dyDescent="0.35">
      <c r="A528" s="329" t="s">
        <v>2558</v>
      </c>
      <c r="B528" s="252" t="s">
        <v>579</v>
      </c>
      <c r="C528" s="301" t="s">
        <v>82</v>
      </c>
      <c r="D528" s="311" t="s">
        <v>82</v>
      </c>
      <c r="E528" s="253"/>
      <c r="F528" s="257" t="str">
        <f t="shared" si="26"/>
        <v/>
      </c>
      <c r="G528" s="257" t="str">
        <f t="shared" si="27"/>
        <v/>
      </c>
    </row>
    <row r="529" spans="1:7" s="216" customFormat="1" x14ac:dyDescent="0.35">
      <c r="A529" s="329" t="s">
        <v>2559</v>
      </c>
      <c r="B529" s="252" t="s">
        <v>579</v>
      </c>
      <c r="C529" s="301" t="s">
        <v>82</v>
      </c>
      <c r="D529" s="311" t="s">
        <v>82</v>
      </c>
      <c r="E529" s="253"/>
      <c r="F529" s="257" t="str">
        <f t="shared" si="26"/>
        <v/>
      </c>
      <c r="G529" s="257" t="str">
        <f t="shared" si="27"/>
        <v/>
      </c>
    </row>
    <row r="530" spans="1:7" s="216" customFormat="1" x14ac:dyDescent="0.35">
      <c r="A530" s="329" t="s">
        <v>2560</v>
      </c>
      <c r="B530" s="270" t="s">
        <v>579</v>
      </c>
      <c r="C530" s="301" t="s">
        <v>82</v>
      </c>
      <c r="D530" s="311" t="s">
        <v>82</v>
      </c>
      <c r="E530" s="253"/>
      <c r="F530" s="257" t="str">
        <f t="shared" si="26"/>
        <v/>
      </c>
      <c r="G530" s="257" t="str">
        <f t="shared" si="27"/>
        <v/>
      </c>
    </row>
    <row r="531" spans="1:7" s="216" customFormat="1" x14ac:dyDescent="0.35">
      <c r="A531" s="329" t="s">
        <v>2561</v>
      </c>
      <c r="B531" s="252" t="s">
        <v>579</v>
      </c>
      <c r="C531" s="301" t="s">
        <v>82</v>
      </c>
      <c r="D531" s="311" t="s">
        <v>82</v>
      </c>
      <c r="E531" s="253"/>
      <c r="F531" s="257" t="str">
        <f t="shared" si="26"/>
        <v/>
      </c>
      <c r="G531" s="257" t="str">
        <f t="shared" si="27"/>
        <v/>
      </c>
    </row>
    <row r="532" spans="1:7" s="216" customFormat="1" x14ac:dyDescent="0.35">
      <c r="A532" s="329" t="s">
        <v>2562</v>
      </c>
      <c r="B532" s="252" t="s">
        <v>579</v>
      </c>
      <c r="C532" s="301" t="s">
        <v>82</v>
      </c>
      <c r="D532" s="311" t="s">
        <v>82</v>
      </c>
      <c r="E532" s="253"/>
      <c r="F532" s="257" t="str">
        <f t="shared" si="26"/>
        <v/>
      </c>
      <c r="G532" s="257" t="str">
        <f t="shared" si="27"/>
        <v/>
      </c>
    </row>
    <row r="533" spans="1:7" s="216" customFormat="1" x14ac:dyDescent="0.35">
      <c r="A533" s="329" t="s">
        <v>2563</v>
      </c>
      <c r="B533" s="252" t="s">
        <v>579</v>
      </c>
      <c r="C533" s="301" t="s">
        <v>82</v>
      </c>
      <c r="D533" s="311" t="s">
        <v>82</v>
      </c>
      <c r="E533" s="253"/>
      <c r="F533" s="257" t="str">
        <f t="shared" si="26"/>
        <v/>
      </c>
      <c r="G533" s="257" t="str">
        <f t="shared" si="27"/>
        <v/>
      </c>
    </row>
    <row r="534" spans="1:7" s="216" customFormat="1" x14ac:dyDescent="0.35">
      <c r="A534" s="329" t="s">
        <v>2564</v>
      </c>
      <c r="B534" s="252" t="s">
        <v>579</v>
      </c>
      <c r="C534" s="301" t="s">
        <v>82</v>
      </c>
      <c r="D534" s="311" t="s">
        <v>82</v>
      </c>
      <c r="E534" s="253"/>
      <c r="F534" s="257" t="str">
        <f t="shared" si="26"/>
        <v/>
      </c>
      <c r="G534" s="257" t="str">
        <f t="shared" si="27"/>
        <v/>
      </c>
    </row>
    <row r="535" spans="1:7" s="216" customFormat="1" x14ac:dyDescent="0.35">
      <c r="A535" s="329" t="s">
        <v>2565</v>
      </c>
      <c r="B535" s="270" t="s">
        <v>579</v>
      </c>
      <c r="C535" s="301" t="s">
        <v>82</v>
      </c>
      <c r="D535" s="311" t="s">
        <v>82</v>
      </c>
      <c r="E535" s="253"/>
      <c r="F535" s="257" t="str">
        <f t="shared" si="26"/>
        <v/>
      </c>
      <c r="G535" s="257" t="str">
        <f t="shared" si="27"/>
        <v/>
      </c>
    </row>
    <row r="536" spans="1:7" s="216" customFormat="1" x14ac:dyDescent="0.35">
      <c r="A536" s="329" t="s">
        <v>2566</v>
      </c>
      <c r="B536" s="252" t="s">
        <v>579</v>
      </c>
      <c r="C536" s="301" t="s">
        <v>82</v>
      </c>
      <c r="D536" s="311" t="s">
        <v>82</v>
      </c>
      <c r="E536" s="253"/>
      <c r="F536" s="257" t="str">
        <f t="shared" si="26"/>
        <v/>
      </c>
      <c r="G536" s="257" t="str">
        <f t="shared" si="27"/>
        <v/>
      </c>
    </row>
    <row r="537" spans="1:7" s="216" customFormat="1" x14ac:dyDescent="0.35">
      <c r="A537" s="329" t="s">
        <v>2567</v>
      </c>
      <c r="B537" s="252" t="s">
        <v>579</v>
      </c>
      <c r="C537" s="301" t="s">
        <v>82</v>
      </c>
      <c r="D537" s="311" t="s">
        <v>82</v>
      </c>
      <c r="E537" s="253"/>
      <c r="F537" s="257" t="str">
        <f t="shared" si="26"/>
        <v/>
      </c>
      <c r="G537" s="257" t="str">
        <f t="shared" si="27"/>
        <v/>
      </c>
    </row>
    <row r="538" spans="1:7" s="216" customFormat="1" x14ac:dyDescent="0.35">
      <c r="A538" s="329" t="s">
        <v>2568</v>
      </c>
      <c r="B538" s="252" t="s">
        <v>579</v>
      </c>
      <c r="C538" s="301" t="s">
        <v>82</v>
      </c>
      <c r="D538" s="311" t="s">
        <v>82</v>
      </c>
      <c r="E538" s="253"/>
      <c r="F538" s="257" t="str">
        <f t="shared" si="26"/>
        <v/>
      </c>
      <c r="G538" s="257" t="str">
        <f t="shared" si="27"/>
        <v/>
      </c>
    </row>
    <row r="539" spans="1:7" s="216" customFormat="1" x14ac:dyDescent="0.35">
      <c r="A539" s="329" t="s">
        <v>2569</v>
      </c>
      <c r="B539" s="252" t="s">
        <v>579</v>
      </c>
      <c r="C539" s="301" t="s">
        <v>82</v>
      </c>
      <c r="D539" s="311" t="s">
        <v>82</v>
      </c>
      <c r="E539" s="253"/>
      <c r="F539" s="257" t="str">
        <f t="shared" si="26"/>
        <v/>
      </c>
      <c r="G539" s="257" t="str">
        <f t="shared" si="27"/>
        <v/>
      </c>
    </row>
    <row r="540" spans="1:7" s="216" customFormat="1" x14ac:dyDescent="0.35">
      <c r="A540" s="329" t="s">
        <v>2570</v>
      </c>
      <c r="B540" s="252" t="s">
        <v>579</v>
      </c>
      <c r="C540" s="301" t="s">
        <v>82</v>
      </c>
      <c r="D540" s="311" t="s">
        <v>82</v>
      </c>
      <c r="E540" s="253"/>
      <c r="F540" s="257" t="str">
        <f t="shared" si="26"/>
        <v/>
      </c>
      <c r="G540" s="257" t="str">
        <f t="shared" si="27"/>
        <v/>
      </c>
    </row>
    <row r="541" spans="1:7" s="216" customFormat="1" x14ac:dyDescent="0.35">
      <c r="A541" s="329" t="s">
        <v>2571</v>
      </c>
      <c r="B541" s="252" t="s">
        <v>579</v>
      </c>
      <c r="C541" s="301" t="s">
        <v>82</v>
      </c>
      <c r="D541" s="311" t="s">
        <v>82</v>
      </c>
      <c r="E541" s="253"/>
      <c r="F541" s="257" t="str">
        <f t="shared" si="26"/>
        <v/>
      </c>
      <c r="G541" s="257" t="str">
        <f t="shared" si="27"/>
        <v/>
      </c>
    </row>
    <row r="542" spans="1:7" s="216" customFormat="1" x14ac:dyDescent="0.35">
      <c r="A542" s="329" t="s">
        <v>2572</v>
      </c>
      <c r="B542" s="252" t="s">
        <v>579</v>
      </c>
      <c r="C542" s="301" t="s">
        <v>82</v>
      </c>
      <c r="D542" s="311" t="s">
        <v>82</v>
      </c>
      <c r="E542" s="253"/>
      <c r="F542" s="257" t="str">
        <f t="shared" si="26"/>
        <v/>
      </c>
      <c r="G542" s="257" t="str">
        <f t="shared" si="27"/>
        <v/>
      </c>
    </row>
    <row r="543" spans="1:7" s="216" customFormat="1" x14ac:dyDescent="0.35">
      <c r="A543" s="329" t="s">
        <v>2573</v>
      </c>
      <c r="B543" s="252" t="s">
        <v>2037</v>
      </c>
      <c r="C543" s="301" t="s">
        <v>82</v>
      </c>
      <c r="D543" s="311" t="s">
        <v>82</v>
      </c>
      <c r="E543" s="253"/>
      <c r="F543" s="257" t="str">
        <f t="shared" si="26"/>
        <v/>
      </c>
      <c r="G543" s="257" t="str">
        <f t="shared" si="27"/>
        <v/>
      </c>
    </row>
    <row r="544" spans="1:7" s="216" customFormat="1" x14ac:dyDescent="0.35">
      <c r="A544" s="329" t="s">
        <v>2574</v>
      </c>
      <c r="B544" s="252" t="s">
        <v>145</v>
      </c>
      <c r="C544" s="301">
        <f>SUM(C526:C543)</f>
        <v>0</v>
      </c>
      <c r="D544" s="311">
        <f>SUM(D526:D543)</f>
        <v>0</v>
      </c>
      <c r="E544" s="253"/>
      <c r="F544" s="265">
        <f>SUM(F526:F543)</f>
        <v>0</v>
      </c>
      <c r="G544" s="265">
        <f>SUM(G526:G543)</f>
        <v>0</v>
      </c>
    </row>
    <row r="545" spans="1:7" s="216" customFormat="1" x14ac:dyDescent="0.35">
      <c r="A545" s="329" t="s">
        <v>2575</v>
      </c>
      <c r="B545" s="252"/>
      <c r="C545" s="251"/>
      <c r="D545" s="251"/>
      <c r="E545" s="253"/>
      <c r="F545" s="253"/>
      <c r="G545" s="253"/>
    </row>
    <row r="546" spans="1:7" s="216" customFormat="1" x14ac:dyDescent="0.35">
      <c r="A546" s="329" t="s">
        <v>2576</v>
      </c>
      <c r="B546" s="252"/>
      <c r="C546" s="251"/>
      <c r="D546" s="251"/>
      <c r="E546" s="253"/>
      <c r="F546" s="253"/>
      <c r="G546" s="253"/>
    </row>
    <row r="547" spans="1:7" s="216" customFormat="1" x14ac:dyDescent="0.35">
      <c r="A547" s="329" t="s">
        <v>2577</v>
      </c>
      <c r="B547" s="252"/>
      <c r="C547" s="251"/>
      <c r="D547" s="251"/>
      <c r="E547" s="253"/>
      <c r="F547" s="253"/>
      <c r="G547" s="253"/>
    </row>
    <row r="548" spans="1:7" s="258" customFormat="1" x14ac:dyDescent="0.35">
      <c r="A548" s="192"/>
      <c r="B548" s="192" t="s">
        <v>2491</v>
      </c>
      <c r="C548" s="156" t="s">
        <v>112</v>
      </c>
      <c r="D548" s="156" t="s">
        <v>1645</v>
      </c>
      <c r="E548" s="156"/>
      <c r="F548" s="156" t="s">
        <v>487</v>
      </c>
      <c r="G548" s="156" t="s">
        <v>1954</v>
      </c>
    </row>
    <row r="549" spans="1:7" s="258" customFormat="1" x14ac:dyDescent="0.35">
      <c r="A549" s="329" t="s">
        <v>2578</v>
      </c>
      <c r="B549" s="270" t="s">
        <v>579</v>
      </c>
      <c r="C549" s="301" t="s">
        <v>82</v>
      </c>
      <c r="D549" s="311" t="s">
        <v>82</v>
      </c>
      <c r="E549" s="271"/>
      <c r="F549" s="257" t="str">
        <f>IF($C$567=0,"",IF(C549="[for completion]","",IF(C549="","",C549/$C$567)))</f>
        <v/>
      </c>
      <c r="G549" s="257" t="str">
        <f>IF($D$567=0,"",IF(D549="[for completion]","",IF(D549="","",D549/$D$567)))</f>
        <v/>
      </c>
    </row>
    <row r="550" spans="1:7" s="258" customFormat="1" x14ac:dyDescent="0.35">
      <c r="A550" s="329" t="s">
        <v>2579</v>
      </c>
      <c r="B550" s="270" t="s">
        <v>579</v>
      </c>
      <c r="C550" s="301" t="s">
        <v>82</v>
      </c>
      <c r="D550" s="311" t="s">
        <v>82</v>
      </c>
      <c r="E550" s="271"/>
      <c r="F550" s="257" t="str">
        <f t="shared" ref="F550:F566" si="28">IF($C$567=0,"",IF(C550="[for completion]","",IF(C550="","",C550/$C$567)))</f>
        <v/>
      </c>
      <c r="G550" s="257" t="str">
        <f t="shared" ref="G550:G566" si="29">IF($D$567=0,"",IF(D550="[for completion]","",IF(D550="","",D550/$D$567)))</f>
        <v/>
      </c>
    </row>
    <row r="551" spans="1:7" s="258" customFormat="1" x14ac:dyDescent="0.35">
      <c r="A551" s="329" t="s">
        <v>2580</v>
      </c>
      <c r="B551" s="270" t="s">
        <v>579</v>
      </c>
      <c r="C551" s="301" t="s">
        <v>82</v>
      </c>
      <c r="D551" s="311" t="s">
        <v>82</v>
      </c>
      <c r="E551" s="271"/>
      <c r="F551" s="257" t="str">
        <f t="shared" si="28"/>
        <v/>
      </c>
      <c r="G551" s="257" t="str">
        <f t="shared" si="29"/>
        <v/>
      </c>
    </row>
    <row r="552" spans="1:7" s="258" customFormat="1" x14ac:dyDescent="0.35">
      <c r="A552" s="329" t="s">
        <v>2581</v>
      </c>
      <c r="B552" s="270" t="s">
        <v>579</v>
      </c>
      <c r="C552" s="301" t="s">
        <v>82</v>
      </c>
      <c r="D552" s="311" t="s">
        <v>82</v>
      </c>
      <c r="E552" s="271"/>
      <c r="F552" s="257" t="str">
        <f t="shared" si="28"/>
        <v/>
      </c>
      <c r="G552" s="257" t="str">
        <f t="shared" si="29"/>
        <v/>
      </c>
    </row>
    <row r="553" spans="1:7" s="258" customFormat="1" x14ac:dyDescent="0.35">
      <c r="A553" s="329" t="s">
        <v>2582</v>
      </c>
      <c r="B553" s="270" t="s">
        <v>579</v>
      </c>
      <c r="C553" s="301" t="s">
        <v>82</v>
      </c>
      <c r="D553" s="311" t="s">
        <v>82</v>
      </c>
      <c r="E553" s="271"/>
      <c r="F553" s="257" t="str">
        <f t="shared" si="28"/>
        <v/>
      </c>
      <c r="G553" s="257" t="str">
        <f t="shared" si="29"/>
        <v/>
      </c>
    </row>
    <row r="554" spans="1:7" s="258" customFormat="1" x14ac:dyDescent="0.35">
      <c r="A554" s="329" t="s">
        <v>2583</v>
      </c>
      <c r="B554" s="270" t="s">
        <v>579</v>
      </c>
      <c r="C554" s="301" t="s">
        <v>82</v>
      </c>
      <c r="D554" s="311" t="s">
        <v>82</v>
      </c>
      <c r="E554" s="271"/>
      <c r="F554" s="257" t="str">
        <f t="shared" si="28"/>
        <v/>
      </c>
      <c r="G554" s="257" t="str">
        <f t="shared" si="29"/>
        <v/>
      </c>
    </row>
    <row r="555" spans="1:7" s="258" customFormat="1" x14ac:dyDescent="0.35">
      <c r="A555" s="329" t="s">
        <v>2584</v>
      </c>
      <c r="B555" s="330" t="s">
        <v>579</v>
      </c>
      <c r="C555" s="301" t="s">
        <v>82</v>
      </c>
      <c r="D555" s="311" t="s">
        <v>82</v>
      </c>
      <c r="E555" s="271"/>
      <c r="F555" s="257" t="str">
        <f t="shared" si="28"/>
        <v/>
      </c>
      <c r="G555" s="257" t="str">
        <f t="shared" si="29"/>
        <v/>
      </c>
    </row>
    <row r="556" spans="1:7" s="258" customFormat="1" x14ac:dyDescent="0.35">
      <c r="A556" s="329" t="s">
        <v>2585</v>
      </c>
      <c r="B556" s="270" t="s">
        <v>579</v>
      </c>
      <c r="C556" s="301" t="s">
        <v>82</v>
      </c>
      <c r="D556" s="311" t="s">
        <v>82</v>
      </c>
      <c r="E556" s="271"/>
      <c r="F556" s="257" t="str">
        <f t="shared" si="28"/>
        <v/>
      </c>
      <c r="G556" s="257" t="str">
        <f t="shared" si="29"/>
        <v/>
      </c>
    </row>
    <row r="557" spans="1:7" s="258" customFormat="1" x14ac:dyDescent="0.35">
      <c r="A557" s="329" t="s">
        <v>2586</v>
      </c>
      <c r="B557" s="270" t="s">
        <v>579</v>
      </c>
      <c r="C557" s="301" t="s">
        <v>82</v>
      </c>
      <c r="D557" s="311" t="s">
        <v>82</v>
      </c>
      <c r="E557" s="271"/>
      <c r="F557" s="257" t="str">
        <f t="shared" si="28"/>
        <v/>
      </c>
      <c r="G557" s="257" t="str">
        <f t="shared" si="29"/>
        <v/>
      </c>
    </row>
    <row r="558" spans="1:7" s="258" customFormat="1" x14ac:dyDescent="0.35">
      <c r="A558" s="329" t="s">
        <v>2587</v>
      </c>
      <c r="B558" s="270" t="s">
        <v>579</v>
      </c>
      <c r="C558" s="301" t="s">
        <v>82</v>
      </c>
      <c r="D558" s="311" t="s">
        <v>82</v>
      </c>
      <c r="E558" s="271"/>
      <c r="F558" s="257" t="str">
        <f t="shared" si="28"/>
        <v/>
      </c>
      <c r="G558" s="257" t="str">
        <f t="shared" si="29"/>
        <v/>
      </c>
    </row>
    <row r="559" spans="1:7" s="258" customFormat="1" x14ac:dyDescent="0.35">
      <c r="A559" s="329" t="s">
        <v>2588</v>
      </c>
      <c r="B559" s="270" t="s">
        <v>579</v>
      </c>
      <c r="C559" s="301" t="s">
        <v>82</v>
      </c>
      <c r="D559" s="311" t="s">
        <v>82</v>
      </c>
      <c r="E559" s="271"/>
      <c r="F559" s="257" t="str">
        <f t="shared" si="28"/>
        <v/>
      </c>
      <c r="G559" s="257" t="str">
        <f t="shared" si="29"/>
        <v/>
      </c>
    </row>
    <row r="560" spans="1:7" s="258" customFormat="1" x14ac:dyDescent="0.35">
      <c r="A560" s="329" t="s">
        <v>2589</v>
      </c>
      <c r="B560" s="270" t="s">
        <v>579</v>
      </c>
      <c r="C560" s="301" t="s">
        <v>82</v>
      </c>
      <c r="D560" s="311" t="s">
        <v>82</v>
      </c>
      <c r="E560" s="271"/>
      <c r="F560" s="257" t="str">
        <f t="shared" si="28"/>
        <v/>
      </c>
      <c r="G560" s="257" t="str">
        <f t="shared" si="29"/>
        <v/>
      </c>
    </row>
    <row r="561" spans="1:7" s="258" customFormat="1" x14ac:dyDescent="0.35">
      <c r="A561" s="329" t="s">
        <v>2590</v>
      </c>
      <c r="B561" s="270" t="s">
        <v>579</v>
      </c>
      <c r="C561" s="301" t="s">
        <v>82</v>
      </c>
      <c r="D561" s="311" t="s">
        <v>82</v>
      </c>
      <c r="E561" s="271"/>
      <c r="F561" s="257" t="str">
        <f t="shared" si="28"/>
        <v/>
      </c>
      <c r="G561" s="257" t="str">
        <f t="shared" si="29"/>
        <v/>
      </c>
    </row>
    <row r="562" spans="1:7" s="258" customFormat="1" x14ac:dyDescent="0.35">
      <c r="A562" s="329" t="s">
        <v>2591</v>
      </c>
      <c r="B562" s="270" t="s">
        <v>579</v>
      </c>
      <c r="C562" s="301" t="s">
        <v>82</v>
      </c>
      <c r="D562" s="311" t="s">
        <v>82</v>
      </c>
      <c r="E562" s="271"/>
      <c r="F562" s="257" t="str">
        <f t="shared" si="28"/>
        <v/>
      </c>
      <c r="G562" s="257" t="str">
        <f t="shared" si="29"/>
        <v/>
      </c>
    </row>
    <row r="563" spans="1:7" s="258" customFormat="1" x14ac:dyDescent="0.35">
      <c r="A563" s="329" t="s">
        <v>2592</v>
      </c>
      <c r="B563" s="270" t="s">
        <v>579</v>
      </c>
      <c r="C563" s="301" t="s">
        <v>82</v>
      </c>
      <c r="D563" s="311" t="s">
        <v>82</v>
      </c>
      <c r="E563" s="271"/>
      <c r="F563" s="257" t="str">
        <f t="shared" si="28"/>
        <v/>
      </c>
      <c r="G563" s="257" t="str">
        <f t="shared" si="29"/>
        <v/>
      </c>
    </row>
    <row r="564" spans="1:7" s="258" customFormat="1" x14ac:dyDescent="0.35">
      <c r="A564" s="329" t="s">
        <v>2593</v>
      </c>
      <c r="B564" s="270" t="s">
        <v>579</v>
      </c>
      <c r="C564" s="301" t="s">
        <v>82</v>
      </c>
      <c r="D564" s="311" t="s">
        <v>82</v>
      </c>
      <c r="E564" s="271"/>
      <c r="F564" s="257" t="str">
        <f t="shared" si="28"/>
        <v/>
      </c>
      <c r="G564" s="257" t="str">
        <f t="shared" si="29"/>
        <v/>
      </c>
    </row>
    <row r="565" spans="1:7" s="258" customFormat="1" x14ac:dyDescent="0.35">
      <c r="A565" s="329" t="s">
        <v>2594</v>
      </c>
      <c r="B565" s="270" t="s">
        <v>579</v>
      </c>
      <c r="C565" s="301" t="s">
        <v>82</v>
      </c>
      <c r="D565" s="311" t="s">
        <v>82</v>
      </c>
      <c r="E565" s="271"/>
      <c r="F565" s="257" t="str">
        <f t="shared" si="28"/>
        <v/>
      </c>
      <c r="G565" s="257" t="str">
        <f t="shared" si="29"/>
        <v/>
      </c>
    </row>
    <row r="566" spans="1:7" s="258" customFormat="1" x14ac:dyDescent="0.35">
      <c r="A566" s="329" t="s">
        <v>2595</v>
      </c>
      <c r="B566" s="270" t="s">
        <v>2037</v>
      </c>
      <c r="C566" s="301" t="s">
        <v>82</v>
      </c>
      <c r="D566" s="311" t="s">
        <v>82</v>
      </c>
      <c r="E566" s="271"/>
      <c r="F566" s="257" t="str">
        <f t="shared" si="28"/>
        <v/>
      </c>
      <c r="G566" s="257" t="str">
        <f t="shared" si="29"/>
        <v/>
      </c>
    </row>
    <row r="567" spans="1:7" s="258" customFormat="1" x14ac:dyDescent="0.35">
      <c r="A567" s="329" t="s">
        <v>2596</v>
      </c>
      <c r="B567" s="270" t="s">
        <v>145</v>
      </c>
      <c r="C567" s="301">
        <f>SUM(C549:C566)</f>
        <v>0</v>
      </c>
      <c r="D567" s="311">
        <f>SUM(D549:D566)</f>
        <v>0</v>
      </c>
      <c r="E567" s="271"/>
      <c r="F567" s="265">
        <f>SUM(F549:F566)</f>
        <v>0</v>
      </c>
      <c r="G567" s="265">
        <f>SUM(G549:G566)</f>
        <v>0</v>
      </c>
    </row>
    <row r="568" spans="1:7" s="258" customFormat="1" x14ac:dyDescent="0.35">
      <c r="A568" s="329" t="s">
        <v>2597</v>
      </c>
      <c r="B568" s="270"/>
      <c r="C568" s="268"/>
      <c r="D568" s="268"/>
      <c r="E568" s="271"/>
      <c r="F568" s="271"/>
      <c r="G568" s="271"/>
    </row>
    <row r="569" spans="1:7" s="258" customFormat="1" x14ac:dyDescent="0.35">
      <c r="A569" s="329" t="s">
        <v>2598</v>
      </c>
      <c r="B569" s="270"/>
      <c r="C569" s="268"/>
      <c r="D569" s="268"/>
      <c r="E569" s="271"/>
      <c r="F569" s="271"/>
      <c r="G569" s="271"/>
    </row>
    <row r="570" spans="1:7" s="258" customFormat="1" x14ac:dyDescent="0.35">
      <c r="A570" s="329" t="s">
        <v>2599</v>
      </c>
      <c r="B570" s="270"/>
      <c r="C570" s="268"/>
      <c r="D570" s="268"/>
      <c r="E570" s="271"/>
      <c r="F570" s="271"/>
      <c r="G570" s="271"/>
    </row>
    <row r="571" spans="1:7" s="216" customFormat="1" x14ac:dyDescent="0.35">
      <c r="A571" s="192"/>
      <c r="B571" s="192" t="s">
        <v>2492</v>
      </c>
      <c r="C571" s="156" t="s">
        <v>112</v>
      </c>
      <c r="D571" s="156" t="s">
        <v>1645</v>
      </c>
      <c r="E571" s="156"/>
      <c r="F571" s="156" t="s">
        <v>487</v>
      </c>
      <c r="G571" s="156" t="s">
        <v>1954</v>
      </c>
    </row>
    <row r="572" spans="1:7" s="216" customFormat="1" x14ac:dyDescent="0.35">
      <c r="A572" s="329" t="s">
        <v>2600</v>
      </c>
      <c r="B572" s="344" t="s">
        <v>1636</v>
      </c>
      <c r="C572" s="301" t="s">
        <v>82</v>
      </c>
      <c r="D572" s="311" t="s">
        <v>82</v>
      </c>
      <c r="E572" s="253"/>
      <c r="F572" s="257" t="str">
        <f>IF($C$585=0,"",IF(C572="[for completion]","",IF(C572="","",C572/$C$585)))</f>
        <v/>
      </c>
      <c r="G572" s="257" t="str">
        <f>IF($D$585=0,"",IF(D572="[for completion]","",IF(D572="","",D572/$D$585)))</f>
        <v/>
      </c>
    </row>
    <row r="573" spans="1:7" s="216" customFormat="1" x14ac:dyDescent="0.35">
      <c r="A573" s="329" t="s">
        <v>2601</v>
      </c>
      <c r="B573" s="344" t="s">
        <v>1637</v>
      </c>
      <c r="C573" s="301" t="s">
        <v>82</v>
      </c>
      <c r="D573" s="311" t="s">
        <v>82</v>
      </c>
      <c r="E573" s="253"/>
      <c r="F573" s="257" t="str">
        <f>IF($C$585=0,"",IF(C573="[for completion]","",IF(C573="","",C573/$C$585)))</f>
        <v/>
      </c>
      <c r="G573" s="257" t="str">
        <f>IF($D$585=0,"",IF(D573="[for completion]","",IF(D573="","",D573/$D$585)))</f>
        <v/>
      </c>
    </row>
    <row r="574" spans="1:7" s="216" customFormat="1" x14ac:dyDescent="0.35">
      <c r="A574" s="329" t="s">
        <v>2602</v>
      </c>
      <c r="B574" s="344" t="s">
        <v>2318</v>
      </c>
      <c r="C574" s="301" t="s">
        <v>82</v>
      </c>
      <c r="D574" s="311" t="s">
        <v>82</v>
      </c>
      <c r="E574" s="253"/>
      <c r="F574" s="257" t="str">
        <f>IF($C$585=0,"",IF(C574="[for completion]","",IF(C574="","",C574/$C$585)))</f>
        <v/>
      </c>
      <c r="G574" s="257" t="str">
        <f>IF($D$585=0,"",IF(D574="[for completion]","",IF(D574="","",D574/$D$585)))</f>
        <v/>
      </c>
    </row>
    <row r="575" spans="1:7" s="216" customFormat="1" x14ac:dyDescent="0.35">
      <c r="A575" s="329" t="s">
        <v>2603</v>
      </c>
      <c r="B575" s="344" t="s">
        <v>1638</v>
      </c>
      <c r="C575" s="301" t="s">
        <v>82</v>
      </c>
      <c r="D575" s="311" t="s">
        <v>82</v>
      </c>
      <c r="E575" s="253"/>
      <c r="F575" s="257" t="str">
        <f>IF($C$585=0,"",IF(C575="[for completion]","",IF(C575="","",C575/$C$585)))</f>
        <v/>
      </c>
      <c r="G575" s="257" t="str">
        <f>IF($D$585=0,"",IF(D575="[for completion]","",IF(D575="","",D575/$D$585)))</f>
        <v/>
      </c>
    </row>
    <row r="576" spans="1:7" s="216" customFormat="1" x14ac:dyDescent="0.35">
      <c r="A576" s="329" t="s">
        <v>2604</v>
      </c>
      <c r="B576" s="344" t="s">
        <v>1639</v>
      </c>
      <c r="C576" s="301" t="s">
        <v>82</v>
      </c>
      <c r="D576" s="311" t="s">
        <v>82</v>
      </c>
      <c r="E576" s="253"/>
      <c r="F576" s="257" t="str">
        <f>IF($C$585=0,"",IF(C576="[for completion]","",IF(C576="","",C576/$C$585)))</f>
        <v/>
      </c>
      <c r="G576" s="257" t="str">
        <f>IF($D$585=0,"",IF(D576="[for completion]","",IF(D576="","",D576/$D$585)))</f>
        <v/>
      </c>
    </row>
    <row r="577" spans="1:7" s="216" customFormat="1" x14ac:dyDescent="0.35">
      <c r="A577" s="329" t="s">
        <v>2605</v>
      </c>
      <c r="B577" s="344" t="s">
        <v>1640</v>
      </c>
      <c r="C577" s="301" t="s">
        <v>82</v>
      </c>
      <c r="D577" s="311" t="s">
        <v>82</v>
      </c>
      <c r="E577" s="253"/>
      <c r="F577" s="366" t="str">
        <f t="shared" ref="F577:F584" si="30">IF($C$585=0,"",IF(C577="[for completion]","",IF(C577="","",C577/$C$585)))</f>
        <v/>
      </c>
      <c r="G577" s="366" t="str">
        <f t="shared" ref="G577:G584" si="31">IF($D$585=0,"",IF(D577="[for completion]","",IF(D577="","",D577/$D$585)))</f>
        <v/>
      </c>
    </row>
    <row r="578" spans="1:7" s="216" customFormat="1" x14ac:dyDescent="0.35">
      <c r="A578" s="329" t="s">
        <v>2606</v>
      </c>
      <c r="B578" s="344" t="s">
        <v>1641</v>
      </c>
      <c r="C578" s="301" t="s">
        <v>82</v>
      </c>
      <c r="D578" s="311" t="s">
        <v>82</v>
      </c>
      <c r="E578" s="253"/>
      <c r="F578" s="366" t="str">
        <f t="shared" si="30"/>
        <v/>
      </c>
      <c r="G578" s="366" t="str">
        <f t="shared" si="31"/>
        <v/>
      </c>
    </row>
    <row r="579" spans="1:7" s="216" customFormat="1" x14ac:dyDescent="0.35">
      <c r="A579" s="329" t="s">
        <v>2607</v>
      </c>
      <c r="B579" s="344" t="s">
        <v>1642</v>
      </c>
      <c r="C579" s="301" t="s">
        <v>82</v>
      </c>
      <c r="D579" s="311" t="s">
        <v>82</v>
      </c>
      <c r="E579" s="253"/>
      <c r="F579" s="366" t="str">
        <f t="shared" si="30"/>
        <v/>
      </c>
      <c r="G579" s="366" t="str">
        <f t="shared" si="31"/>
        <v/>
      </c>
    </row>
    <row r="580" spans="1:7" s="361" customFormat="1" x14ac:dyDescent="0.35">
      <c r="A580" s="367" t="s">
        <v>2608</v>
      </c>
      <c r="B580" s="368" t="s">
        <v>2694</v>
      </c>
      <c r="C580" s="245" t="s">
        <v>82</v>
      </c>
      <c r="D580" s="367" t="s">
        <v>82</v>
      </c>
      <c r="E580" s="377"/>
      <c r="F580" s="348" t="str">
        <f t="shared" si="30"/>
        <v/>
      </c>
      <c r="G580" s="348" t="str">
        <f t="shared" si="31"/>
        <v/>
      </c>
    </row>
    <row r="581" spans="1:7" s="361" customFormat="1" x14ac:dyDescent="0.35">
      <c r="A581" s="367" t="s">
        <v>2609</v>
      </c>
      <c r="B581" s="367" t="s">
        <v>2697</v>
      </c>
      <c r="C581" s="245" t="s">
        <v>82</v>
      </c>
      <c r="D581" s="367" t="s">
        <v>82</v>
      </c>
      <c r="E581" s="108"/>
      <c r="F581" s="348" t="str">
        <f t="shared" si="30"/>
        <v/>
      </c>
      <c r="G581" s="348" t="str">
        <f t="shared" si="31"/>
        <v/>
      </c>
    </row>
    <row r="582" spans="1:7" s="361" customFormat="1" x14ac:dyDescent="0.35">
      <c r="A582" s="367" t="s">
        <v>2610</v>
      </c>
      <c r="B582" s="367" t="s">
        <v>2695</v>
      </c>
      <c r="C582" s="245" t="s">
        <v>82</v>
      </c>
      <c r="D582" s="367" t="s">
        <v>82</v>
      </c>
      <c r="E582" s="108"/>
      <c r="F582" s="348" t="str">
        <f t="shared" si="30"/>
        <v/>
      </c>
      <c r="G582" s="348" t="str">
        <f t="shared" si="31"/>
        <v/>
      </c>
    </row>
    <row r="583" spans="1:7" s="361" customFormat="1" x14ac:dyDescent="0.35">
      <c r="A583" s="367" t="s">
        <v>2706</v>
      </c>
      <c r="B583" s="368" t="s">
        <v>2696</v>
      </c>
      <c r="C583" s="245" t="s">
        <v>82</v>
      </c>
      <c r="D583" s="367" t="s">
        <v>82</v>
      </c>
      <c r="E583" s="377"/>
      <c r="F583" s="348" t="str">
        <f t="shared" si="30"/>
        <v/>
      </c>
      <c r="G583" s="348" t="str">
        <f t="shared" si="31"/>
        <v/>
      </c>
    </row>
    <row r="584" spans="1:7" s="361" customFormat="1" x14ac:dyDescent="0.35">
      <c r="A584" s="367" t="s">
        <v>2707</v>
      </c>
      <c r="B584" s="367" t="s">
        <v>2037</v>
      </c>
      <c r="C584" s="381" t="s">
        <v>82</v>
      </c>
      <c r="D584" s="382" t="s">
        <v>82</v>
      </c>
      <c r="E584" s="377"/>
      <c r="F584" s="348" t="str">
        <f t="shared" si="30"/>
        <v/>
      </c>
      <c r="G584" s="348" t="str">
        <f t="shared" si="31"/>
        <v/>
      </c>
    </row>
    <row r="585" spans="1:7" s="361" customFormat="1" x14ac:dyDescent="0.35">
      <c r="A585" s="367" t="s">
        <v>2708</v>
      </c>
      <c r="B585" s="368" t="s">
        <v>145</v>
      </c>
      <c r="C585" s="381">
        <f>SUM(C572:C584)</f>
        <v>0</v>
      </c>
      <c r="D585" s="382">
        <f>SUM(D572:D584)</f>
        <v>0</v>
      </c>
      <c r="E585" s="377"/>
      <c r="F585" s="364">
        <f>SUM(F572:F584)</f>
        <v>0</v>
      </c>
      <c r="G585" s="364">
        <f>SUM(G572:G584)</f>
        <v>0</v>
      </c>
    </row>
    <row r="586" spans="1:7" s="361" customFormat="1" x14ac:dyDescent="0.35">
      <c r="A586" s="367" t="s">
        <v>2611</v>
      </c>
      <c r="B586" s="368"/>
      <c r="C586" s="381"/>
      <c r="D586" s="382"/>
      <c r="E586" s="377"/>
      <c r="F586" s="348"/>
      <c r="G586" s="348"/>
    </row>
    <row r="587" spans="1:7" s="361" customFormat="1" x14ac:dyDescent="0.35">
      <c r="A587" s="367" t="s">
        <v>2709</v>
      </c>
      <c r="B587" s="368"/>
      <c r="C587" s="381"/>
      <c r="D587" s="382"/>
      <c r="E587" s="377"/>
      <c r="F587" s="348"/>
      <c r="G587" s="348"/>
    </row>
    <row r="588" spans="1:7" s="361" customFormat="1" x14ac:dyDescent="0.35">
      <c r="A588" s="367" t="s">
        <v>2710</v>
      </c>
      <c r="B588" s="368"/>
      <c r="C588" s="381"/>
      <c r="D588" s="382"/>
      <c r="E588" s="377"/>
      <c r="F588" s="348"/>
      <c r="G588" s="348"/>
    </row>
    <row r="589" spans="1:7" s="361" customFormat="1" x14ac:dyDescent="0.35">
      <c r="A589" s="367" t="s">
        <v>2711</v>
      </c>
      <c r="B589" s="368"/>
      <c r="C589" s="381"/>
      <c r="D589" s="382"/>
      <c r="E589" s="377"/>
      <c r="F589" s="348"/>
      <c r="G589" s="348"/>
    </row>
    <row r="590" spans="1:7" s="361" customFormat="1" x14ac:dyDescent="0.35">
      <c r="A590" s="367" t="s">
        <v>2712</v>
      </c>
      <c r="B590" s="368"/>
      <c r="C590" s="381"/>
      <c r="D590" s="382"/>
      <c r="E590" s="377"/>
      <c r="F590" s="348"/>
      <c r="G590" s="348"/>
    </row>
    <row r="591" spans="1:7" s="216" customFormat="1" x14ac:dyDescent="0.35">
      <c r="A591" s="367" t="s">
        <v>2713</v>
      </c>
      <c r="B591" s="368"/>
      <c r="C591" s="381"/>
      <c r="D591" s="382"/>
      <c r="E591" s="377"/>
      <c r="F591" s="348" t="str">
        <f>IF($C$585=0,"",IF(C591="[for completion]","",IF(C591="","",C591/$C$585)))</f>
        <v/>
      </c>
      <c r="G591" s="348" t="str">
        <f>IF($D$585=0,"",IF(D591="[for completion]","",IF(D591="","",D591/$D$585)))</f>
        <v/>
      </c>
    </row>
    <row r="592" spans="1:7" s="216" customFormat="1" x14ac:dyDescent="0.35">
      <c r="A592" s="367" t="s">
        <v>2714</v>
      </c>
      <c r="B592" s="108"/>
      <c r="C592" s="108"/>
      <c r="D592" s="108"/>
      <c r="E592" s="108"/>
      <c r="F592" s="108"/>
      <c r="G592" s="108"/>
    </row>
    <row r="593" spans="1:7" s="258" customFormat="1" x14ac:dyDescent="0.35">
      <c r="A593" s="367" t="s">
        <v>2715</v>
      </c>
      <c r="B593" s="108"/>
      <c r="C593" s="108"/>
      <c r="D593" s="108"/>
      <c r="E593" s="108"/>
      <c r="F593" s="108"/>
      <c r="G593" s="108"/>
    </row>
    <row r="594" spans="1:7" x14ac:dyDescent="0.35">
      <c r="A594" s="367" t="s">
        <v>2716</v>
      </c>
      <c r="B594" s="264"/>
      <c r="C594" s="264"/>
      <c r="D594" s="264"/>
      <c r="E594" s="264"/>
      <c r="F594" s="264"/>
      <c r="G594" s="262"/>
    </row>
    <row r="595" spans="1:7" s="363" customFormat="1" x14ac:dyDescent="0.35">
      <c r="A595" s="367" t="s">
        <v>2722</v>
      </c>
      <c r="B595" s="264"/>
      <c r="C595" s="264"/>
      <c r="D595" s="264"/>
      <c r="E595" s="264"/>
      <c r="F595" s="264"/>
      <c r="G595" s="262"/>
    </row>
    <row r="596" spans="1:7" x14ac:dyDescent="0.35">
      <c r="A596" s="192"/>
      <c r="B596" s="192" t="s">
        <v>2493</v>
      </c>
      <c r="C596" s="156" t="s">
        <v>112</v>
      </c>
      <c r="D596" s="156" t="s">
        <v>1643</v>
      </c>
      <c r="E596" s="156"/>
      <c r="F596" s="156" t="s">
        <v>486</v>
      </c>
      <c r="G596" s="156" t="s">
        <v>1954</v>
      </c>
    </row>
    <row r="597" spans="1:7" x14ac:dyDescent="0.35">
      <c r="A597" s="329" t="s">
        <v>2612</v>
      </c>
      <c r="B597" s="270" t="s">
        <v>2219</v>
      </c>
      <c r="C597" s="301" t="s">
        <v>82</v>
      </c>
      <c r="D597" s="311" t="s">
        <v>82</v>
      </c>
      <c r="E597" s="271"/>
      <c r="F597" s="257" t="str">
        <f>IF($C$601=0,"",IF(C597="[for completion]","",IF(C597="","",C597/$C$601)))</f>
        <v/>
      </c>
      <c r="G597" s="257" t="str">
        <f>IF($D$601=0,"",IF(D597="[for completion]","",IF(D597="","",D597/$D$601)))</f>
        <v/>
      </c>
    </row>
    <row r="598" spans="1:7" x14ac:dyDescent="0.35">
      <c r="A598" s="329" t="s">
        <v>2613</v>
      </c>
      <c r="B598" s="266" t="s">
        <v>2220</v>
      </c>
      <c r="C598" s="301" t="s">
        <v>82</v>
      </c>
      <c r="D598" s="311" t="s">
        <v>82</v>
      </c>
      <c r="E598" s="271"/>
      <c r="F598" s="257" t="str">
        <f>IF($C$601=0,"",IF(C598="[for completion]","",IF(C598="","",C598/$C$601)))</f>
        <v/>
      </c>
      <c r="G598" s="257" t="str">
        <f>IF($D$601=0,"",IF(D598="[for completion]","",IF(D598="","",D598/$D$601)))</f>
        <v/>
      </c>
    </row>
    <row r="599" spans="1:7" x14ac:dyDescent="0.35">
      <c r="A599" s="329" t="s">
        <v>2614</v>
      </c>
      <c r="B599" s="270" t="s">
        <v>1644</v>
      </c>
      <c r="C599" s="301" t="s">
        <v>82</v>
      </c>
      <c r="D599" s="311" t="s">
        <v>82</v>
      </c>
      <c r="E599" s="271"/>
      <c r="F599" s="257" t="str">
        <f>IF($C$601=0,"",IF(C599="[for completion]","",IF(C599="","",C599/$C$601)))</f>
        <v/>
      </c>
      <c r="G599" s="257" t="str">
        <f>IF($D$601=0,"",IF(D599="[for completion]","",IF(D599="","",D599/$D$601)))</f>
        <v/>
      </c>
    </row>
    <row r="600" spans="1:7" x14ac:dyDescent="0.35">
      <c r="A600" s="329" t="s">
        <v>2615</v>
      </c>
      <c r="B600" s="268" t="s">
        <v>2037</v>
      </c>
      <c r="C600" s="301" t="s">
        <v>82</v>
      </c>
      <c r="D600" s="311" t="s">
        <v>82</v>
      </c>
      <c r="E600" s="271"/>
      <c r="F600" s="257" t="str">
        <f>IF($C$601=0,"",IF(C600="[for completion]","",IF(C600="","",C600/$C$601)))</f>
        <v/>
      </c>
      <c r="G600" s="257" t="str">
        <f>IF($D$601=0,"",IF(D600="[for completion]","",IF(D600="","",D600/$D$601)))</f>
        <v/>
      </c>
    </row>
    <row r="601" spans="1:7" x14ac:dyDescent="0.35">
      <c r="A601" s="329" t="s">
        <v>2616</v>
      </c>
      <c r="B601" s="270" t="s">
        <v>145</v>
      </c>
      <c r="C601" s="301">
        <f>SUM(C597:C600)</f>
        <v>0</v>
      </c>
      <c r="D601" s="311">
        <f>SUM(D597:D600)</f>
        <v>0</v>
      </c>
      <c r="E601" s="271"/>
      <c r="F601" s="265">
        <f>SUM(F597:F600)</f>
        <v>0</v>
      </c>
      <c r="G601" s="265">
        <f>SUM(G597:G600)</f>
        <v>0</v>
      </c>
    </row>
    <row r="602" spans="1:7" x14ac:dyDescent="0.35">
      <c r="A602" s="268"/>
      <c r="B602" s="268"/>
      <c r="C602" s="268"/>
      <c r="D602" s="268"/>
      <c r="E602" s="268"/>
      <c r="F602" s="268"/>
      <c r="G602" s="267"/>
    </row>
    <row r="603" spans="1:7" x14ac:dyDescent="0.35">
      <c r="A603" s="192"/>
      <c r="B603" s="192" t="s">
        <v>2686</v>
      </c>
      <c r="C603" s="192" t="s">
        <v>2682</v>
      </c>
      <c r="D603" s="192" t="s">
        <v>2687</v>
      </c>
      <c r="E603" s="192"/>
      <c r="F603" s="192" t="s">
        <v>2684</v>
      </c>
      <c r="G603" s="192"/>
    </row>
    <row r="604" spans="1:7" x14ac:dyDescent="0.35">
      <c r="A604" s="367" t="s">
        <v>2619</v>
      </c>
      <c r="B604" s="389" t="s">
        <v>777</v>
      </c>
      <c r="C604" s="383" t="s">
        <v>82</v>
      </c>
      <c r="D604" s="384" t="s">
        <v>82</v>
      </c>
      <c r="E604" s="385"/>
      <c r="F604" s="384" t="s">
        <v>82</v>
      </c>
      <c r="G604" s="348" t="str">
        <f>IF($D$622=0,"",IF(D604="[for completion]","",IF(D604="","",D604/$D$622)))</f>
        <v/>
      </c>
    </row>
    <row r="605" spans="1:7" x14ac:dyDescent="0.35">
      <c r="A605" s="367" t="s">
        <v>2620</v>
      </c>
      <c r="B605" s="389" t="s">
        <v>778</v>
      </c>
      <c r="C605" s="383" t="s">
        <v>82</v>
      </c>
      <c r="D605" s="384" t="s">
        <v>82</v>
      </c>
      <c r="E605" s="385"/>
      <c r="F605" s="384" t="s">
        <v>82</v>
      </c>
      <c r="G605" s="348" t="str">
        <f t="shared" ref="G605:G622" si="32">IF($D$622=0,"",IF(D605="[for completion]","",IF(D605="","",D605/$D$622)))</f>
        <v/>
      </c>
    </row>
    <row r="606" spans="1:7" x14ac:dyDescent="0.35">
      <c r="A606" s="367" t="s">
        <v>2621</v>
      </c>
      <c r="B606" s="389" t="s">
        <v>779</v>
      </c>
      <c r="C606" s="383" t="s">
        <v>82</v>
      </c>
      <c r="D606" s="384" t="s">
        <v>82</v>
      </c>
      <c r="E606" s="385"/>
      <c r="F606" s="384" t="s">
        <v>82</v>
      </c>
      <c r="G606" s="348" t="str">
        <f t="shared" si="32"/>
        <v/>
      </c>
    </row>
    <row r="607" spans="1:7" x14ac:dyDescent="0.35">
      <c r="A607" s="367" t="s">
        <v>2622</v>
      </c>
      <c r="B607" s="389" t="s">
        <v>780</v>
      </c>
      <c r="C607" s="383" t="s">
        <v>82</v>
      </c>
      <c r="D607" s="384" t="s">
        <v>82</v>
      </c>
      <c r="E607" s="385"/>
      <c r="F607" s="384" t="s">
        <v>82</v>
      </c>
      <c r="G607" s="348" t="str">
        <f t="shared" si="32"/>
        <v/>
      </c>
    </row>
    <row r="608" spans="1:7" x14ac:dyDescent="0.35">
      <c r="A608" s="367" t="s">
        <v>2623</v>
      </c>
      <c r="B608" s="389" t="s">
        <v>781</v>
      </c>
      <c r="C608" s="383" t="s">
        <v>82</v>
      </c>
      <c r="D608" s="384" t="s">
        <v>82</v>
      </c>
      <c r="E608" s="385"/>
      <c r="F608" s="384" t="s">
        <v>82</v>
      </c>
      <c r="G608" s="348" t="str">
        <f t="shared" si="32"/>
        <v/>
      </c>
    </row>
    <row r="609" spans="1:7" x14ac:dyDescent="0.35">
      <c r="A609" s="367" t="s">
        <v>2624</v>
      </c>
      <c r="B609" s="389" t="s">
        <v>782</v>
      </c>
      <c r="C609" s="383" t="s">
        <v>82</v>
      </c>
      <c r="D609" s="384" t="s">
        <v>82</v>
      </c>
      <c r="E609" s="385"/>
      <c r="F609" s="384" t="s">
        <v>82</v>
      </c>
      <c r="G609" s="348" t="str">
        <f t="shared" si="32"/>
        <v/>
      </c>
    </row>
    <row r="610" spans="1:7" x14ac:dyDescent="0.35">
      <c r="A610" s="367" t="s">
        <v>2625</v>
      </c>
      <c r="B610" s="389" t="s">
        <v>783</v>
      </c>
      <c r="C610" s="383" t="s">
        <v>82</v>
      </c>
      <c r="D610" s="384" t="s">
        <v>82</v>
      </c>
      <c r="E610" s="385"/>
      <c r="F610" s="384" t="s">
        <v>82</v>
      </c>
      <c r="G610" s="348" t="str">
        <f t="shared" si="32"/>
        <v/>
      </c>
    </row>
    <row r="611" spans="1:7" x14ac:dyDescent="0.35">
      <c r="A611" s="367" t="s">
        <v>2626</v>
      </c>
      <c r="B611" s="389" t="s">
        <v>2212</v>
      </c>
      <c r="C611" s="383" t="s">
        <v>82</v>
      </c>
      <c r="D611" s="384" t="s">
        <v>82</v>
      </c>
      <c r="E611" s="385"/>
      <c r="F611" s="384" t="s">
        <v>82</v>
      </c>
      <c r="G611" s="348" t="str">
        <f t="shared" si="32"/>
        <v/>
      </c>
    </row>
    <row r="612" spans="1:7" x14ac:dyDescent="0.35">
      <c r="A612" s="367" t="s">
        <v>2627</v>
      </c>
      <c r="B612" s="389" t="s">
        <v>2213</v>
      </c>
      <c r="C612" s="383" t="s">
        <v>82</v>
      </c>
      <c r="D612" s="384" t="s">
        <v>82</v>
      </c>
      <c r="E612" s="385"/>
      <c r="F612" s="384" t="s">
        <v>82</v>
      </c>
      <c r="G612" s="348" t="str">
        <f t="shared" si="32"/>
        <v/>
      </c>
    </row>
    <row r="613" spans="1:7" x14ac:dyDescent="0.35">
      <c r="A613" s="367" t="s">
        <v>2628</v>
      </c>
      <c r="B613" s="389" t="s">
        <v>2214</v>
      </c>
      <c r="C613" s="383" t="s">
        <v>82</v>
      </c>
      <c r="D613" s="384" t="s">
        <v>82</v>
      </c>
      <c r="E613" s="385"/>
      <c r="F613" s="384" t="s">
        <v>82</v>
      </c>
      <c r="G613" s="348" t="str">
        <f t="shared" si="32"/>
        <v/>
      </c>
    </row>
    <row r="614" spans="1:7" x14ac:dyDescent="0.35">
      <c r="A614" s="367" t="s">
        <v>2629</v>
      </c>
      <c r="B614" s="389" t="s">
        <v>784</v>
      </c>
      <c r="C614" s="383" t="s">
        <v>82</v>
      </c>
      <c r="D614" s="384" t="s">
        <v>82</v>
      </c>
      <c r="E614" s="385"/>
      <c r="F614" s="384" t="s">
        <v>82</v>
      </c>
      <c r="G614" s="348" t="str">
        <f t="shared" si="32"/>
        <v/>
      </c>
    </row>
    <row r="615" spans="1:7" x14ac:dyDescent="0.35">
      <c r="A615" s="367" t="s">
        <v>2630</v>
      </c>
      <c r="B615" s="389" t="s">
        <v>785</v>
      </c>
      <c r="C615" s="383" t="s">
        <v>82</v>
      </c>
      <c r="D615" s="384" t="s">
        <v>82</v>
      </c>
      <c r="E615" s="385"/>
      <c r="F615" s="384" t="s">
        <v>82</v>
      </c>
      <c r="G615" s="348" t="str">
        <f t="shared" si="32"/>
        <v/>
      </c>
    </row>
    <row r="616" spans="1:7" x14ac:dyDescent="0.35">
      <c r="A616" s="367" t="s">
        <v>2631</v>
      </c>
      <c r="B616" s="389" t="s">
        <v>143</v>
      </c>
      <c r="C616" s="383" t="s">
        <v>82</v>
      </c>
      <c r="D616" s="384" t="s">
        <v>82</v>
      </c>
      <c r="E616" s="385"/>
      <c r="F616" s="384" t="s">
        <v>82</v>
      </c>
      <c r="G616" s="348" t="str">
        <f t="shared" si="32"/>
        <v/>
      </c>
    </row>
    <row r="617" spans="1:7" x14ac:dyDescent="0.35">
      <c r="A617" s="367" t="s">
        <v>2632</v>
      </c>
      <c r="B617" s="389" t="s">
        <v>2037</v>
      </c>
      <c r="C617" s="383" t="s">
        <v>82</v>
      </c>
      <c r="D617" s="384" t="s">
        <v>82</v>
      </c>
      <c r="E617" s="385"/>
      <c r="F617" s="384" t="s">
        <v>82</v>
      </c>
      <c r="G617" s="348" t="str">
        <f t="shared" si="32"/>
        <v/>
      </c>
    </row>
    <row r="618" spans="1:7" x14ac:dyDescent="0.35">
      <c r="A618" s="367" t="s">
        <v>2633</v>
      </c>
      <c r="B618" s="389" t="s">
        <v>145</v>
      </c>
      <c r="C618" s="381">
        <f>SUM(C604:C617)</f>
        <v>0</v>
      </c>
      <c r="D618" s="367">
        <f>SUM(D604:D617)</f>
        <v>0</v>
      </c>
      <c r="E618" s="345"/>
      <c r="F618" s="381"/>
      <c r="G618" s="348" t="str">
        <f t="shared" si="32"/>
        <v/>
      </c>
    </row>
    <row r="619" spans="1:7" x14ac:dyDescent="0.35">
      <c r="A619" s="367" t="s">
        <v>2634</v>
      </c>
      <c r="B619" s="264" t="s">
        <v>2681</v>
      </c>
      <c r="C619" s="108"/>
      <c r="D619" s="108"/>
      <c r="E619" s="108"/>
      <c r="F619" s="339" t="s">
        <v>82</v>
      </c>
      <c r="G619" s="348" t="str">
        <f t="shared" si="32"/>
        <v/>
      </c>
    </row>
    <row r="620" spans="1:7" x14ac:dyDescent="0.35">
      <c r="A620" s="329" t="s">
        <v>2635</v>
      </c>
      <c r="B620" s="344"/>
      <c r="C620" s="301"/>
      <c r="D620" s="311"/>
      <c r="E620" s="345"/>
      <c r="F620" s="348"/>
      <c r="G620" s="348" t="str">
        <f t="shared" si="32"/>
        <v/>
      </c>
    </row>
    <row r="621" spans="1:7" x14ac:dyDescent="0.35">
      <c r="A621" s="329" t="s">
        <v>2636</v>
      </c>
      <c r="B621" s="344"/>
      <c r="C621" s="301"/>
      <c r="D621" s="311"/>
      <c r="E621" s="345"/>
      <c r="F621" s="348"/>
      <c r="G621" s="348" t="str">
        <f t="shared" si="32"/>
        <v/>
      </c>
    </row>
    <row r="622" spans="1:7" x14ac:dyDescent="0.35">
      <c r="A622" s="329" t="s">
        <v>2637</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7" sqref="C7"/>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4" t="s">
        <v>786</v>
      </c>
      <c r="B1" s="184"/>
      <c r="C1" s="64"/>
      <c r="D1" s="64"/>
      <c r="E1" s="64"/>
      <c r="F1" s="369" t="s">
        <v>2773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787</v>
      </c>
      <c r="C5" s="70"/>
      <c r="E5" s="72"/>
      <c r="F5" s="72"/>
      <c r="H5"/>
      <c r="L5" s="64"/>
      <c r="M5" s="64"/>
    </row>
    <row r="6" spans="1:14" ht="15" thickBot="1" x14ac:dyDescent="0.4">
      <c r="B6" s="75" t="s">
        <v>788</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80</v>
      </c>
      <c r="B8" s="77" t="s">
        <v>788</v>
      </c>
      <c r="C8" s="78"/>
      <c r="D8" s="78"/>
      <c r="E8" s="78"/>
      <c r="F8" s="78"/>
      <c r="G8" s="79"/>
      <c r="H8"/>
      <c r="I8" s="83"/>
      <c r="J8" s="72"/>
      <c r="K8" s="72"/>
      <c r="L8" s="72"/>
      <c r="M8" s="72"/>
    </row>
    <row r="9" spans="1:14" ht="15" customHeight="1" x14ac:dyDescent="0.35">
      <c r="A9" s="85"/>
      <c r="B9" s="86" t="s">
        <v>789</v>
      </c>
      <c r="C9" s="85"/>
      <c r="D9" s="85"/>
      <c r="E9" s="85"/>
      <c r="F9" s="88"/>
      <c r="G9" s="88"/>
      <c r="H9"/>
      <c r="I9" s="83"/>
      <c r="J9" s="80"/>
      <c r="K9" s="80"/>
      <c r="L9" s="80"/>
      <c r="M9" s="99"/>
      <c r="N9" s="99"/>
    </row>
    <row r="10" spans="1:14" x14ac:dyDescent="0.35">
      <c r="A10" s="66" t="s">
        <v>790</v>
      </c>
      <c r="B10" s="66" t="s">
        <v>791</v>
      </c>
      <c r="C10" s="188" t="s">
        <v>82</v>
      </c>
      <c r="E10" s="83"/>
      <c r="F10" s="83"/>
      <c r="H10"/>
      <c r="I10" s="83"/>
      <c r="L10" s="83"/>
      <c r="M10" s="83"/>
    </row>
    <row r="11" spans="1:14" outlineLevel="1" x14ac:dyDescent="0.35">
      <c r="A11" s="66" t="s">
        <v>792</v>
      </c>
      <c r="B11" s="95" t="s">
        <v>480</v>
      </c>
      <c r="C11" s="188"/>
      <c r="E11" s="83"/>
      <c r="F11" s="83"/>
      <c r="H11"/>
      <c r="I11" s="83"/>
      <c r="L11" s="83"/>
      <c r="M11" s="83"/>
    </row>
    <row r="12" spans="1:14" outlineLevel="1" x14ac:dyDescent="0.35">
      <c r="A12" s="66" t="s">
        <v>793</v>
      </c>
      <c r="B12" s="95" t="s">
        <v>482</v>
      </c>
      <c r="C12" s="188"/>
      <c r="E12" s="83"/>
      <c r="F12" s="83"/>
      <c r="H12"/>
      <c r="I12" s="83"/>
      <c r="L12" s="83"/>
      <c r="M12" s="83"/>
    </row>
    <row r="13" spans="1:14" outlineLevel="1" x14ac:dyDescent="0.35">
      <c r="A13" s="66" t="s">
        <v>794</v>
      </c>
      <c r="E13" s="83"/>
      <c r="F13" s="83"/>
      <c r="H13"/>
      <c r="I13" s="83"/>
      <c r="L13" s="83"/>
      <c r="M13" s="83"/>
    </row>
    <row r="14" spans="1:14" outlineLevel="1" x14ac:dyDescent="0.35">
      <c r="A14" s="66" t="s">
        <v>795</v>
      </c>
      <c r="E14" s="83"/>
      <c r="F14" s="83"/>
      <c r="H14"/>
      <c r="I14" s="83"/>
      <c r="L14" s="83"/>
      <c r="M14" s="83"/>
    </row>
    <row r="15" spans="1:14" outlineLevel="1" x14ac:dyDescent="0.35">
      <c r="A15" s="66" t="s">
        <v>796</v>
      </c>
      <c r="E15" s="83"/>
      <c r="F15" s="83"/>
      <c r="H15"/>
      <c r="I15" s="83"/>
      <c r="L15" s="83"/>
      <c r="M15" s="83"/>
    </row>
    <row r="16" spans="1:14" outlineLevel="1" x14ac:dyDescent="0.35">
      <c r="A16" s="66" t="s">
        <v>797</v>
      </c>
      <c r="E16" s="83"/>
      <c r="F16" s="83"/>
      <c r="H16"/>
      <c r="I16" s="83"/>
      <c r="L16" s="83"/>
      <c r="M16" s="83"/>
    </row>
    <row r="17" spans="1:14" outlineLevel="1" x14ac:dyDescent="0.35">
      <c r="A17" s="66" t="s">
        <v>798</v>
      </c>
      <c r="E17" s="83"/>
      <c r="F17" s="83"/>
      <c r="H17"/>
      <c r="I17" s="83"/>
      <c r="L17" s="83"/>
      <c r="M17" s="83"/>
    </row>
    <row r="18" spans="1:14" x14ac:dyDescent="0.35">
      <c r="A18" s="85"/>
      <c r="B18" s="85" t="s">
        <v>799</v>
      </c>
      <c r="C18" s="85" t="s">
        <v>656</v>
      </c>
      <c r="D18" s="85" t="s">
        <v>800</v>
      </c>
      <c r="E18" s="85"/>
      <c r="F18" s="85" t="s">
        <v>801</v>
      </c>
      <c r="G18" s="85" t="s">
        <v>802</v>
      </c>
      <c r="H18"/>
      <c r="I18" s="112"/>
      <c r="J18" s="80"/>
      <c r="K18" s="80"/>
      <c r="L18" s="72"/>
      <c r="M18" s="80"/>
      <c r="N18" s="80"/>
    </row>
    <row r="19" spans="1:14" x14ac:dyDescent="0.35">
      <c r="A19" s="66" t="s">
        <v>803</v>
      </c>
      <c r="B19" s="66" t="s">
        <v>804</v>
      </c>
      <c r="C19" s="187" t="s">
        <v>82</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661</v>
      </c>
      <c r="C21" s="80"/>
      <c r="D21" s="80"/>
      <c r="E21" s="80"/>
      <c r="F21" s="99"/>
      <c r="G21" s="99"/>
      <c r="H21"/>
      <c r="I21" s="83"/>
      <c r="J21" s="80"/>
      <c r="K21" s="80"/>
      <c r="L21" s="80"/>
      <c r="M21" s="99"/>
      <c r="N21" s="99"/>
    </row>
    <row r="22" spans="1:14" x14ac:dyDescent="0.35">
      <c r="A22" s="66" t="s">
        <v>805</v>
      </c>
      <c r="B22" s="83" t="s">
        <v>579</v>
      </c>
      <c r="C22" s="187" t="s">
        <v>82</v>
      </c>
      <c r="D22" s="188" t="s">
        <v>82</v>
      </c>
      <c r="E22" s="83"/>
      <c r="F22" s="199" t="str">
        <f>IF($C$37=0,"",IF(C22="[for completion]","",C22/$C$37))</f>
        <v/>
      </c>
      <c r="G22" s="199" t="str">
        <f>IF($D$37=0,"",IF(D22="[for completion]","",D22/$D$37))</f>
        <v/>
      </c>
      <c r="H22"/>
      <c r="I22" s="83"/>
      <c r="L22" s="83"/>
      <c r="M22" s="92"/>
      <c r="N22" s="92"/>
    </row>
    <row r="23" spans="1:14" x14ac:dyDescent="0.35">
      <c r="A23" s="66" t="s">
        <v>806</v>
      </c>
      <c r="B23" s="83" t="s">
        <v>579</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5">
      <c r="A24" s="66" t="s">
        <v>807</v>
      </c>
      <c r="B24" s="83" t="s">
        <v>579</v>
      </c>
      <c r="C24" s="187" t="s">
        <v>82</v>
      </c>
      <c r="D24" s="188" t="s">
        <v>82</v>
      </c>
      <c r="F24" s="199" t="str">
        <f t="shared" si="0"/>
        <v/>
      </c>
      <c r="G24" s="199" t="str">
        <f t="shared" si="1"/>
        <v/>
      </c>
      <c r="H24"/>
      <c r="I24" s="83"/>
      <c r="M24" s="92"/>
      <c r="N24" s="92"/>
    </row>
    <row r="25" spans="1:14" x14ac:dyDescent="0.35">
      <c r="A25" s="66" t="s">
        <v>808</v>
      </c>
      <c r="B25" s="83" t="s">
        <v>579</v>
      </c>
      <c r="C25" s="187" t="s">
        <v>82</v>
      </c>
      <c r="D25" s="188" t="s">
        <v>82</v>
      </c>
      <c r="E25" s="103"/>
      <c r="F25" s="199" t="str">
        <f t="shared" si="0"/>
        <v/>
      </c>
      <c r="G25" s="199" t="str">
        <f t="shared" si="1"/>
        <v/>
      </c>
      <c r="H25"/>
      <c r="I25" s="83"/>
      <c r="L25" s="103"/>
      <c r="M25" s="92"/>
      <c r="N25" s="92"/>
    </row>
    <row r="26" spans="1:14" x14ac:dyDescent="0.35">
      <c r="A26" s="66" t="s">
        <v>809</v>
      </c>
      <c r="B26" s="83" t="s">
        <v>579</v>
      </c>
      <c r="C26" s="187" t="s">
        <v>82</v>
      </c>
      <c r="D26" s="188" t="s">
        <v>82</v>
      </c>
      <c r="E26" s="103"/>
      <c r="F26" s="199" t="str">
        <f t="shared" si="0"/>
        <v/>
      </c>
      <c r="G26" s="199" t="str">
        <f t="shared" si="1"/>
        <v/>
      </c>
      <c r="H26"/>
      <c r="I26" s="83"/>
      <c r="L26" s="103"/>
      <c r="M26" s="92"/>
      <c r="N26" s="92"/>
    </row>
    <row r="27" spans="1:14" x14ac:dyDescent="0.35">
      <c r="A27" s="66" t="s">
        <v>810</v>
      </c>
      <c r="B27" s="83" t="s">
        <v>579</v>
      </c>
      <c r="C27" s="187" t="s">
        <v>82</v>
      </c>
      <c r="D27" s="188" t="s">
        <v>82</v>
      </c>
      <c r="E27" s="103"/>
      <c r="F27" s="199" t="str">
        <f t="shared" si="0"/>
        <v/>
      </c>
      <c r="G27" s="199" t="str">
        <f t="shared" si="1"/>
        <v/>
      </c>
      <c r="H27"/>
      <c r="I27" s="83"/>
      <c r="L27" s="103"/>
      <c r="M27" s="92"/>
      <c r="N27" s="92"/>
    </row>
    <row r="28" spans="1:14" x14ac:dyDescent="0.35">
      <c r="A28" s="66" t="s">
        <v>811</v>
      </c>
      <c r="B28" s="83" t="s">
        <v>579</v>
      </c>
      <c r="C28" s="187" t="s">
        <v>82</v>
      </c>
      <c r="D28" s="188" t="s">
        <v>82</v>
      </c>
      <c r="E28" s="103"/>
      <c r="F28" s="199" t="str">
        <f t="shared" si="0"/>
        <v/>
      </c>
      <c r="G28" s="199" t="str">
        <f t="shared" si="1"/>
        <v/>
      </c>
      <c r="H28"/>
      <c r="I28" s="83"/>
      <c r="L28" s="103"/>
      <c r="M28" s="92"/>
      <c r="N28" s="92"/>
    </row>
    <row r="29" spans="1:14" x14ac:dyDescent="0.35">
      <c r="A29" s="66" t="s">
        <v>812</v>
      </c>
      <c r="B29" s="83" t="s">
        <v>579</v>
      </c>
      <c r="C29" s="187" t="s">
        <v>82</v>
      </c>
      <c r="D29" s="188" t="s">
        <v>82</v>
      </c>
      <c r="E29" s="103"/>
      <c r="F29" s="199" t="str">
        <f t="shared" si="0"/>
        <v/>
      </c>
      <c r="G29" s="199" t="str">
        <f t="shared" si="1"/>
        <v/>
      </c>
      <c r="H29"/>
      <c r="I29" s="83"/>
      <c r="L29" s="103"/>
      <c r="M29" s="92"/>
      <c r="N29" s="92"/>
    </row>
    <row r="30" spans="1:14" x14ac:dyDescent="0.35">
      <c r="A30" s="66" t="s">
        <v>813</v>
      </c>
      <c r="B30" s="83" t="s">
        <v>579</v>
      </c>
      <c r="C30" s="187" t="s">
        <v>82</v>
      </c>
      <c r="D30" s="188" t="s">
        <v>82</v>
      </c>
      <c r="E30" s="103"/>
      <c r="F30" s="199" t="str">
        <f t="shared" si="0"/>
        <v/>
      </c>
      <c r="G30" s="199" t="str">
        <f t="shared" si="1"/>
        <v/>
      </c>
      <c r="H30"/>
      <c r="I30" s="83"/>
      <c r="L30" s="103"/>
      <c r="M30" s="92"/>
      <c r="N30" s="92"/>
    </row>
    <row r="31" spans="1:14" x14ac:dyDescent="0.35">
      <c r="A31" s="66" t="s">
        <v>814</v>
      </c>
      <c r="B31" s="83" t="s">
        <v>579</v>
      </c>
      <c r="C31" s="187" t="s">
        <v>82</v>
      </c>
      <c r="D31" s="188" t="s">
        <v>82</v>
      </c>
      <c r="E31" s="103"/>
      <c r="F31" s="199" t="str">
        <f t="shared" si="0"/>
        <v/>
      </c>
      <c r="G31" s="199" t="str">
        <f t="shared" si="1"/>
        <v/>
      </c>
      <c r="H31"/>
      <c r="I31" s="83"/>
      <c r="L31" s="103"/>
      <c r="M31" s="92"/>
      <c r="N31" s="92"/>
    </row>
    <row r="32" spans="1:14" x14ac:dyDescent="0.35">
      <c r="A32" s="66" t="s">
        <v>815</v>
      </c>
      <c r="B32" s="83" t="s">
        <v>579</v>
      </c>
      <c r="C32" s="187" t="s">
        <v>82</v>
      </c>
      <c r="D32" s="188" t="s">
        <v>82</v>
      </c>
      <c r="E32" s="103"/>
      <c r="F32" s="199" t="str">
        <f t="shared" si="0"/>
        <v/>
      </c>
      <c r="G32" s="199" t="str">
        <f t="shared" si="1"/>
        <v/>
      </c>
      <c r="H32"/>
      <c r="I32" s="83"/>
      <c r="L32" s="103"/>
      <c r="M32" s="92"/>
      <c r="N32" s="92"/>
    </row>
    <row r="33" spans="1:14" x14ac:dyDescent="0.35">
      <c r="A33" s="66" t="s">
        <v>816</v>
      </c>
      <c r="B33" s="83" t="s">
        <v>579</v>
      </c>
      <c r="C33" s="187" t="s">
        <v>82</v>
      </c>
      <c r="D33" s="188" t="s">
        <v>82</v>
      </c>
      <c r="E33" s="103"/>
      <c r="F33" s="199" t="str">
        <f t="shared" si="0"/>
        <v/>
      </c>
      <c r="G33" s="199" t="str">
        <f t="shared" si="1"/>
        <v/>
      </c>
      <c r="H33"/>
      <c r="I33" s="83"/>
      <c r="L33" s="103"/>
      <c r="M33" s="92"/>
      <c r="N33" s="92"/>
    </row>
    <row r="34" spans="1:14" x14ac:dyDescent="0.35">
      <c r="A34" s="66" t="s">
        <v>817</v>
      </c>
      <c r="B34" s="83" t="s">
        <v>579</v>
      </c>
      <c r="C34" s="187" t="s">
        <v>82</v>
      </c>
      <c r="D34" s="188" t="s">
        <v>82</v>
      </c>
      <c r="E34" s="103"/>
      <c r="F34" s="199" t="str">
        <f t="shared" si="0"/>
        <v/>
      </c>
      <c r="G34" s="199" t="str">
        <f t="shared" si="1"/>
        <v/>
      </c>
      <c r="H34"/>
      <c r="I34" s="83"/>
      <c r="L34" s="103"/>
      <c r="M34" s="92"/>
      <c r="N34" s="92"/>
    </row>
    <row r="35" spans="1:14" x14ac:dyDescent="0.35">
      <c r="A35" s="66" t="s">
        <v>818</v>
      </c>
      <c r="B35" s="83" t="s">
        <v>579</v>
      </c>
      <c r="C35" s="187" t="s">
        <v>82</v>
      </c>
      <c r="D35" s="188" t="s">
        <v>82</v>
      </c>
      <c r="E35" s="103"/>
      <c r="F35" s="199" t="str">
        <f t="shared" si="0"/>
        <v/>
      </c>
      <c r="G35" s="199" t="str">
        <f t="shared" si="1"/>
        <v/>
      </c>
      <c r="H35"/>
      <c r="I35" s="83"/>
      <c r="L35" s="103"/>
      <c r="M35" s="92"/>
      <c r="N35" s="92"/>
    </row>
    <row r="36" spans="1:14" x14ac:dyDescent="0.35">
      <c r="A36" s="66" t="s">
        <v>819</v>
      </c>
      <c r="B36" s="83" t="s">
        <v>579</v>
      </c>
      <c r="C36" s="187" t="s">
        <v>82</v>
      </c>
      <c r="D36" s="188" t="s">
        <v>82</v>
      </c>
      <c r="E36" s="103"/>
      <c r="F36" s="199" t="str">
        <f t="shared" si="0"/>
        <v/>
      </c>
      <c r="G36" s="199" t="str">
        <f t="shared" si="1"/>
        <v/>
      </c>
      <c r="H36"/>
      <c r="I36" s="83"/>
      <c r="L36" s="103"/>
      <c r="M36" s="92"/>
      <c r="N36" s="92"/>
    </row>
    <row r="37" spans="1:14" x14ac:dyDescent="0.35">
      <c r="A37" s="66" t="s">
        <v>820</v>
      </c>
      <c r="B37" s="93" t="s">
        <v>145</v>
      </c>
      <c r="C37" s="189">
        <f>SUM(C22:C36)</f>
        <v>0</v>
      </c>
      <c r="D37" s="91">
        <f>SUM(D22:D36)</f>
        <v>0</v>
      </c>
      <c r="E37" s="103"/>
      <c r="F37" s="200">
        <f>SUM(F22:F36)</f>
        <v>0</v>
      </c>
      <c r="G37" s="200">
        <f>SUM(G22:G36)</f>
        <v>0</v>
      </c>
      <c r="H37"/>
      <c r="I37" s="93"/>
      <c r="J37" s="83"/>
      <c r="K37" s="83"/>
      <c r="L37" s="103"/>
      <c r="M37" s="94"/>
      <c r="N37" s="94"/>
    </row>
    <row r="38" spans="1:14" x14ac:dyDescent="0.35">
      <c r="A38" s="85"/>
      <c r="B38" s="86" t="s">
        <v>821</v>
      </c>
      <c r="C38" s="85" t="s">
        <v>112</v>
      </c>
      <c r="D38" s="85"/>
      <c r="E38" s="87"/>
      <c r="F38" s="85" t="s">
        <v>801</v>
      </c>
      <c r="G38" s="85"/>
      <c r="H38"/>
      <c r="I38" s="112"/>
      <c r="J38" s="80"/>
      <c r="K38" s="80"/>
      <c r="L38" s="72"/>
      <c r="M38" s="80"/>
      <c r="N38" s="80"/>
    </row>
    <row r="39" spans="1:14" x14ac:dyDescent="0.35">
      <c r="A39" s="66" t="s">
        <v>822</v>
      </c>
      <c r="B39" s="83" t="s">
        <v>823</v>
      </c>
      <c r="C39" s="187" t="s">
        <v>82</v>
      </c>
      <c r="E39" s="114"/>
      <c r="F39" s="199" t="str">
        <f>IF($C$42=0,"",IF(C39="[for completion]","",C39/$C$42))</f>
        <v/>
      </c>
      <c r="G39" s="91"/>
      <c r="H39"/>
      <c r="I39" s="83"/>
      <c r="L39" s="114"/>
      <c r="M39" s="92"/>
      <c r="N39" s="91"/>
    </row>
    <row r="40" spans="1:14" x14ac:dyDescent="0.35">
      <c r="A40" s="66" t="s">
        <v>824</v>
      </c>
      <c r="B40" s="83" t="s">
        <v>825</v>
      </c>
      <c r="C40" s="187" t="s">
        <v>82</v>
      </c>
      <c r="E40" s="114"/>
      <c r="F40" s="199" t="str">
        <f>IF($C$42=0,"",IF(C40="[for completion]","",C40/$C$42))</f>
        <v/>
      </c>
      <c r="G40" s="91"/>
      <c r="H40"/>
      <c r="I40" s="83"/>
      <c r="L40" s="114"/>
      <c r="M40" s="92"/>
      <c r="N40" s="91"/>
    </row>
    <row r="41" spans="1:14" x14ac:dyDescent="0.35">
      <c r="A41" s="66" t="s">
        <v>826</v>
      </c>
      <c r="B41" s="83" t="s">
        <v>143</v>
      </c>
      <c r="C41" s="187" t="s">
        <v>82</v>
      </c>
      <c r="E41" s="103"/>
      <c r="F41" s="199" t="str">
        <f>IF($C$42=0,"",IF(C41="[for completion]","",C41/$C$42))</f>
        <v/>
      </c>
      <c r="G41" s="91"/>
      <c r="H41"/>
      <c r="I41" s="83"/>
      <c r="L41" s="103"/>
      <c r="M41" s="92"/>
      <c r="N41" s="91"/>
    </row>
    <row r="42" spans="1:14" x14ac:dyDescent="0.35">
      <c r="A42" s="66" t="s">
        <v>827</v>
      </c>
      <c r="B42" s="93" t="s">
        <v>145</v>
      </c>
      <c r="C42" s="189">
        <f>SUM(C39:C41)</f>
        <v>0</v>
      </c>
      <c r="D42" s="83"/>
      <c r="E42" s="103"/>
      <c r="F42" s="200">
        <f>SUM(F39:F41)</f>
        <v>0</v>
      </c>
      <c r="G42" s="91"/>
      <c r="H42"/>
      <c r="I42" s="83"/>
      <c r="L42" s="103"/>
      <c r="M42" s="92"/>
      <c r="N42" s="91"/>
    </row>
    <row r="43" spans="1:14" outlineLevel="1" x14ac:dyDescent="0.35">
      <c r="A43" s="66" t="s">
        <v>828</v>
      </c>
      <c r="B43" s="93"/>
      <c r="C43" s="83"/>
      <c r="D43" s="83"/>
      <c r="E43" s="103"/>
      <c r="F43" s="94"/>
      <c r="G43" s="91"/>
      <c r="H43"/>
      <c r="I43" s="83"/>
      <c r="L43" s="103"/>
      <c r="M43" s="92"/>
      <c r="N43" s="91"/>
    </row>
    <row r="44" spans="1:14" outlineLevel="1" x14ac:dyDescent="0.35">
      <c r="A44" s="66" t="s">
        <v>829</v>
      </c>
      <c r="B44" s="93"/>
      <c r="C44" s="83"/>
      <c r="D44" s="83"/>
      <c r="E44" s="103"/>
      <c r="F44" s="94"/>
      <c r="G44" s="91"/>
      <c r="H44"/>
      <c r="I44" s="83"/>
      <c r="L44" s="103"/>
      <c r="M44" s="92"/>
      <c r="N44" s="91"/>
    </row>
    <row r="45" spans="1:14" outlineLevel="1" x14ac:dyDescent="0.35">
      <c r="A45" s="66" t="s">
        <v>830</v>
      </c>
      <c r="B45" s="83"/>
      <c r="E45" s="103"/>
      <c r="F45" s="92"/>
      <c r="G45" s="91"/>
      <c r="H45"/>
      <c r="I45" s="83"/>
      <c r="L45" s="103"/>
      <c r="M45" s="92"/>
      <c r="N45" s="91"/>
    </row>
    <row r="46" spans="1:14" outlineLevel="1" x14ac:dyDescent="0.35">
      <c r="A46" s="66" t="s">
        <v>831</v>
      </c>
      <c r="B46" s="83"/>
      <c r="E46" s="103"/>
      <c r="F46" s="92"/>
      <c r="G46" s="91"/>
      <c r="H46"/>
      <c r="I46" s="83"/>
      <c r="L46" s="103"/>
      <c r="M46" s="92"/>
      <c r="N46" s="91"/>
    </row>
    <row r="47" spans="1:14" outlineLevel="1" x14ac:dyDescent="0.35">
      <c r="A47" s="66" t="s">
        <v>832</v>
      </c>
      <c r="B47" s="83"/>
      <c r="E47" s="103"/>
      <c r="F47" s="92"/>
      <c r="G47" s="91"/>
      <c r="H47"/>
      <c r="I47" s="83"/>
      <c r="L47" s="103"/>
      <c r="M47" s="92"/>
      <c r="N47" s="91"/>
    </row>
    <row r="48" spans="1:14" ht="15" customHeight="1" x14ac:dyDescent="0.35">
      <c r="A48" s="85"/>
      <c r="B48" s="86" t="s">
        <v>496</v>
      </c>
      <c r="C48" s="85" t="s">
        <v>801</v>
      </c>
      <c r="D48" s="85"/>
      <c r="E48" s="87"/>
      <c r="F48" s="88"/>
      <c r="G48" s="88"/>
      <c r="H48"/>
      <c r="I48" s="112"/>
      <c r="J48" s="80"/>
      <c r="K48" s="80"/>
      <c r="L48" s="72"/>
      <c r="M48" s="99"/>
      <c r="N48" s="99"/>
    </row>
    <row r="49" spans="1:14" x14ac:dyDescent="0.35">
      <c r="A49" s="66" t="s">
        <v>833</v>
      </c>
      <c r="B49" s="111" t="s">
        <v>498</v>
      </c>
      <c r="C49" s="181">
        <f>SUM(C50:C76)</f>
        <v>0</v>
      </c>
      <c r="G49" s="66"/>
      <c r="H49"/>
      <c r="I49" s="72"/>
      <c r="N49" s="66"/>
    </row>
    <row r="50" spans="1:14" x14ac:dyDescent="0.35">
      <c r="A50" s="66" t="s">
        <v>834</v>
      </c>
      <c r="B50" s="66" t="s">
        <v>500</v>
      </c>
      <c r="C50" s="181" t="s">
        <v>82</v>
      </c>
      <c r="G50" s="66"/>
      <c r="H50"/>
      <c r="N50" s="66"/>
    </row>
    <row r="51" spans="1:14" x14ac:dyDescent="0.35">
      <c r="A51" s="66" t="s">
        <v>835</v>
      </c>
      <c r="B51" s="66" t="s">
        <v>502</v>
      </c>
      <c r="C51" s="181" t="s">
        <v>82</v>
      </c>
      <c r="G51" s="66"/>
      <c r="H51"/>
      <c r="N51" s="66"/>
    </row>
    <row r="52" spans="1:14" x14ac:dyDescent="0.35">
      <c r="A52" s="66" t="s">
        <v>836</v>
      </c>
      <c r="B52" s="66" t="s">
        <v>504</v>
      </c>
      <c r="C52" s="181" t="s">
        <v>82</v>
      </c>
      <c r="G52" s="66"/>
      <c r="H52"/>
      <c r="N52" s="66"/>
    </row>
    <row r="53" spans="1:14" x14ac:dyDescent="0.35">
      <c r="A53" s="66" t="s">
        <v>837</v>
      </c>
      <c r="B53" s="66" t="s">
        <v>506</v>
      </c>
      <c r="C53" s="181" t="s">
        <v>82</v>
      </c>
      <c r="G53" s="66"/>
      <c r="H53"/>
      <c r="N53" s="66"/>
    </row>
    <row r="54" spans="1:14" x14ac:dyDescent="0.35">
      <c r="A54" s="66" t="s">
        <v>838</v>
      </c>
      <c r="B54" s="66" t="s">
        <v>508</v>
      </c>
      <c r="C54" s="181" t="s">
        <v>82</v>
      </c>
      <c r="G54" s="66"/>
      <c r="H54"/>
      <c r="N54" s="66"/>
    </row>
    <row r="55" spans="1:14" x14ac:dyDescent="0.35">
      <c r="A55" s="66" t="s">
        <v>839</v>
      </c>
      <c r="B55" s="66" t="s">
        <v>2297</v>
      </c>
      <c r="C55" s="181" t="s">
        <v>82</v>
      </c>
      <c r="G55" s="66"/>
      <c r="H55"/>
      <c r="N55" s="66"/>
    </row>
    <row r="56" spans="1:14" x14ac:dyDescent="0.35">
      <c r="A56" s="66" t="s">
        <v>840</v>
      </c>
      <c r="B56" s="66" t="s">
        <v>511</v>
      </c>
      <c r="C56" s="181" t="s">
        <v>82</v>
      </c>
      <c r="G56" s="66"/>
      <c r="H56"/>
      <c r="N56" s="66"/>
    </row>
    <row r="57" spans="1:14" x14ac:dyDescent="0.35">
      <c r="A57" s="66" t="s">
        <v>841</v>
      </c>
      <c r="B57" s="66" t="s">
        <v>513</v>
      </c>
      <c r="C57" s="181" t="s">
        <v>82</v>
      </c>
      <c r="G57" s="66"/>
      <c r="H57"/>
      <c r="N57" s="66"/>
    </row>
    <row r="58" spans="1:14" x14ac:dyDescent="0.35">
      <c r="A58" s="66" t="s">
        <v>842</v>
      </c>
      <c r="B58" s="66" t="s">
        <v>515</v>
      </c>
      <c r="C58" s="181" t="s">
        <v>82</v>
      </c>
      <c r="G58" s="66"/>
      <c r="H58"/>
      <c r="N58" s="66"/>
    </row>
    <row r="59" spans="1:14" x14ac:dyDescent="0.35">
      <c r="A59" s="66" t="s">
        <v>843</v>
      </c>
      <c r="B59" s="66" t="s">
        <v>517</v>
      </c>
      <c r="C59" s="181" t="s">
        <v>82</v>
      </c>
      <c r="G59" s="66"/>
      <c r="H59"/>
      <c r="N59" s="66"/>
    </row>
    <row r="60" spans="1:14" x14ac:dyDescent="0.35">
      <c r="A60" s="66" t="s">
        <v>844</v>
      </c>
      <c r="B60" s="66" t="s">
        <v>519</v>
      </c>
      <c r="C60" s="181" t="s">
        <v>82</v>
      </c>
      <c r="G60" s="66"/>
      <c r="H60"/>
      <c r="N60" s="66"/>
    </row>
    <row r="61" spans="1:14" x14ac:dyDescent="0.35">
      <c r="A61" s="66" t="s">
        <v>845</v>
      </c>
      <c r="B61" s="66" t="s">
        <v>521</v>
      </c>
      <c r="C61" s="181" t="s">
        <v>82</v>
      </c>
      <c r="G61" s="66"/>
      <c r="H61"/>
      <c r="N61" s="66"/>
    </row>
    <row r="62" spans="1:14" x14ac:dyDescent="0.35">
      <c r="A62" s="66" t="s">
        <v>846</v>
      </c>
      <c r="B62" s="66" t="s">
        <v>523</v>
      </c>
      <c r="C62" s="181" t="s">
        <v>82</v>
      </c>
      <c r="G62" s="66"/>
      <c r="H62"/>
      <c r="N62" s="66"/>
    </row>
    <row r="63" spans="1:14" x14ac:dyDescent="0.35">
      <c r="A63" s="66" t="s">
        <v>847</v>
      </c>
      <c r="B63" s="66" t="s">
        <v>525</v>
      </c>
      <c r="C63" s="181" t="s">
        <v>82</v>
      </c>
      <c r="G63" s="66"/>
      <c r="H63"/>
      <c r="N63" s="66"/>
    </row>
    <row r="64" spans="1:14" x14ac:dyDescent="0.35">
      <c r="A64" s="66" t="s">
        <v>848</v>
      </c>
      <c r="B64" s="66" t="s">
        <v>527</v>
      </c>
      <c r="C64" s="181" t="s">
        <v>82</v>
      </c>
      <c r="G64" s="66"/>
      <c r="H64"/>
      <c r="N64" s="66"/>
    </row>
    <row r="65" spans="1:14" x14ac:dyDescent="0.35">
      <c r="A65" s="66" t="s">
        <v>849</v>
      </c>
      <c r="B65" s="66" t="s">
        <v>3</v>
      </c>
      <c r="C65" s="181" t="s">
        <v>82</v>
      </c>
      <c r="G65" s="66"/>
      <c r="H65"/>
      <c r="N65" s="66"/>
    </row>
    <row r="66" spans="1:14" x14ac:dyDescent="0.35">
      <c r="A66" s="66" t="s">
        <v>850</v>
      </c>
      <c r="B66" s="66" t="s">
        <v>530</v>
      </c>
      <c r="C66" s="181" t="s">
        <v>82</v>
      </c>
      <c r="G66" s="66"/>
      <c r="H66"/>
      <c r="N66" s="66"/>
    </row>
    <row r="67" spans="1:14" x14ac:dyDescent="0.35">
      <c r="A67" s="66" t="s">
        <v>851</v>
      </c>
      <c r="B67" s="66" t="s">
        <v>532</v>
      </c>
      <c r="C67" s="181" t="s">
        <v>82</v>
      </c>
      <c r="G67" s="66"/>
      <c r="H67"/>
      <c r="N67" s="66"/>
    </row>
    <row r="68" spans="1:14" x14ac:dyDescent="0.35">
      <c r="A68" s="66" t="s">
        <v>852</v>
      </c>
      <c r="B68" s="66" t="s">
        <v>534</v>
      </c>
      <c r="C68" s="181" t="s">
        <v>82</v>
      </c>
      <c r="G68" s="66"/>
      <c r="H68"/>
      <c r="N68" s="66"/>
    </row>
    <row r="69" spans="1:14" x14ac:dyDescent="0.35">
      <c r="A69" s="275" t="s">
        <v>853</v>
      </c>
      <c r="B69" s="66" t="s">
        <v>536</v>
      </c>
      <c r="C69" s="181" t="s">
        <v>82</v>
      </c>
      <c r="G69" s="66"/>
      <c r="H69"/>
      <c r="N69" s="66"/>
    </row>
    <row r="70" spans="1:14" x14ac:dyDescent="0.35">
      <c r="A70" s="275" t="s">
        <v>854</v>
      </c>
      <c r="B70" s="66" t="s">
        <v>538</v>
      </c>
      <c r="C70" s="181" t="s">
        <v>82</v>
      </c>
      <c r="G70" s="66"/>
      <c r="H70"/>
      <c r="N70" s="66"/>
    </row>
    <row r="71" spans="1:14" x14ac:dyDescent="0.35">
      <c r="A71" s="275" t="s">
        <v>855</v>
      </c>
      <c r="B71" s="66" t="s">
        <v>540</v>
      </c>
      <c r="C71" s="181" t="s">
        <v>82</v>
      </c>
      <c r="G71" s="66"/>
      <c r="H71"/>
      <c r="N71" s="66"/>
    </row>
    <row r="72" spans="1:14" x14ac:dyDescent="0.35">
      <c r="A72" s="275" t="s">
        <v>856</v>
      </c>
      <c r="B72" s="66" t="s">
        <v>542</v>
      </c>
      <c r="C72" s="181" t="s">
        <v>82</v>
      </c>
      <c r="G72" s="66"/>
      <c r="H72"/>
      <c r="N72" s="66"/>
    </row>
    <row r="73" spans="1:14" x14ac:dyDescent="0.35">
      <c r="A73" s="275" t="s">
        <v>857</v>
      </c>
      <c r="B73" s="66" t="s">
        <v>544</v>
      </c>
      <c r="C73" s="181" t="s">
        <v>82</v>
      </c>
      <c r="G73" s="66"/>
      <c r="H73"/>
      <c r="N73" s="66"/>
    </row>
    <row r="74" spans="1:14" x14ac:dyDescent="0.35">
      <c r="A74" s="275" t="s">
        <v>858</v>
      </c>
      <c r="B74" s="66" t="s">
        <v>546</v>
      </c>
      <c r="C74" s="181" t="s">
        <v>82</v>
      </c>
      <c r="G74" s="66"/>
      <c r="H74"/>
      <c r="N74" s="66"/>
    </row>
    <row r="75" spans="1:14" x14ac:dyDescent="0.35">
      <c r="A75" s="275" t="s">
        <v>859</v>
      </c>
      <c r="B75" s="66" t="s">
        <v>548</v>
      </c>
      <c r="C75" s="181" t="s">
        <v>82</v>
      </c>
      <c r="G75" s="66"/>
      <c r="H75"/>
      <c r="N75" s="66"/>
    </row>
    <row r="76" spans="1:14" x14ac:dyDescent="0.35">
      <c r="A76" s="275" t="s">
        <v>860</v>
      </c>
      <c r="B76" s="66" t="s">
        <v>6</v>
      </c>
      <c r="C76" s="181" t="s">
        <v>82</v>
      </c>
      <c r="G76" s="66"/>
      <c r="H76"/>
      <c r="N76" s="66"/>
    </row>
    <row r="77" spans="1:14" x14ac:dyDescent="0.35">
      <c r="A77" s="275" t="s">
        <v>861</v>
      </c>
      <c r="B77" s="111" t="s">
        <v>313</v>
      </c>
      <c r="C77" s="181">
        <f>SUM(C78:C80)</f>
        <v>0</v>
      </c>
      <c r="G77" s="66"/>
      <c r="H77"/>
      <c r="I77" s="72"/>
      <c r="N77" s="66"/>
    </row>
    <row r="78" spans="1:14" x14ac:dyDescent="0.35">
      <c r="A78" s="275" t="s">
        <v>862</v>
      </c>
      <c r="B78" s="66" t="s">
        <v>554</v>
      </c>
      <c r="C78" s="181" t="s">
        <v>82</v>
      </c>
      <c r="G78" s="66"/>
      <c r="H78"/>
      <c r="N78" s="66"/>
    </row>
    <row r="79" spans="1:14" x14ac:dyDescent="0.35">
      <c r="A79" s="275" t="s">
        <v>863</v>
      </c>
      <c r="B79" s="66" t="s">
        <v>556</v>
      </c>
      <c r="C79" s="181" t="s">
        <v>82</v>
      </c>
      <c r="G79" s="66"/>
      <c r="H79"/>
      <c r="N79" s="66"/>
    </row>
    <row r="80" spans="1:14" x14ac:dyDescent="0.35">
      <c r="A80" s="275" t="s">
        <v>864</v>
      </c>
      <c r="B80" s="66" t="s">
        <v>2</v>
      </c>
      <c r="C80" s="181" t="s">
        <v>82</v>
      </c>
      <c r="G80" s="66"/>
      <c r="H80"/>
      <c r="N80" s="66"/>
    </row>
    <row r="81" spans="1:14" x14ac:dyDescent="0.35">
      <c r="A81" s="275" t="s">
        <v>865</v>
      </c>
      <c r="B81" s="111" t="s">
        <v>143</v>
      </c>
      <c r="C81" s="181">
        <f>SUM(C82:C92)</f>
        <v>0</v>
      </c>
      <c r="G81" s="66"/>
      <c r="H81"/>
      <c r="I81" s="72"/>
      <c r="N81" s="66"/>
    </row>
    <row r="82" spans="1:14" x14ac:dyDescent="0.35">
      <c r="A82" s="275" t="s">
        <v>866</v>
      </c>
      <c r="B82" s="83" t="s">
        <v>315</v>
      </c>
      <c r="C82" s="181" t="s">
        <v>82</v>
      </c>
      <c r="G82" s="66"/>
      <c r="H82"/>
      <c r="I82" s="83"/>
      <c r="N82" s="66"/>
    </row>
    <row r="83" spans="1:14" x14ac:dyDescent="0.35">
      <c r="A83" s="275" t="s">
        <v>867</v>
      </c>
      <c r="B83" s="275" t="s">
        <v>551</v>
      </c>
      <c r="C83" s="181" t="s">
        <v>82</v>
      </c>
      <c r="D83" s="275"/>
      <c r="E83" s="275"/>
      <c r="F83" s="275"/>
      <c r="G83" s="275"/>
      <c r="H83" s="258"/>
      <c r="I83" s="261"/>
      <c r="J83" s="275"/>
      <c r="K83" s="275"/>
      <c r="L83" s="275"/>
      <c r="M83" s="275"/>
      <c r="N83" s="275"/>
    </row>
    <row r="84" spans="1:14" x14ac:dyDescent="0.35">
      <c r="A84" s="275" t="s">
        <v>868</v>
      </c>
      <c r="B84" s="83" t="s">
        <v>317</v>
      </c>
      <c r="C84" s="181" t="s">
        <v>82</v>
      </c>
      <c r="G84" s="66"/>
      <c r="H84"/>
      <c r="I84" s="83"/>
      <c r="N84" s="66"/>
    </row>
    <row r="85" spans="1:14" x14ac:dyDescent="0.35">
      <c r="A85" s="275" t="s">
        <v>869</v>
      </c>
      <c r="B85" s="83" t="s">
        <v>319</v>
      </c>
      <c r="C85" s="181" t="s">
        <v>82</v>
      </c>
      <c r="G85" s="66"/>
      <c r="H85"/>
      <c r="I85" s="83"/>
      <c r="N85" s="66"/>
    </row>
    <row r="86" spans="1:14" x14ac:dyDescent="0.35">
      <c r="A86" s="275" t="s">
        <v>870</v>
      </c>
      <c r="B86" s="83" t="s">
        <v>12</v>
      </c>
      <c r="C86" s="181" t="s">
        <v>82</v>
      </c>
      <c r="G86" s="66"/>
      <c r="H86"/>
      <c r="I86" s="83"/>
      <c r="N86" s="66"/>
    </row>
    <row r="87" spans="1:14" x14ac:dyDescent="0.35">
      <c r="A87" s="275" t="s">
        <v>871</v>
      </c>
      <c r="B87" s="83" t="s">
        <v>322</v>
      </c>
      <c r="C87" s="181" t="s">
        <v>82</v>
      </c>
      <c r="G87" s="66"/>
      <c r="H87"/>
      <c r="I87" s="83"/>
      <c r="N87" s="66"/>
    </row>
    <row r="88" spans="1:14" x14ac:dyDescent="0.35">
      <c r="A88" s="275" t="s">
        <v>872</v>
      </c>
      <c r="B88" s="83" t="s">
        <v>324</v>
      </c>
      <c r="C88" s="181" t="s">
        <v>82</v>
      </c>
      <c r="G88" s="66"/>
      <c r="H88"/>
      <c r="I88" s="83"/>
      <c r="N88" s="66"/>
    </row>
    <row r="89" spans="1:14" x14ac:dyDescent="0.35">
      <c r="A89" s="275" t="s">
        <v>873</v>
      </c>
      <c r="B89" s="83" t="s">
        <v>326</v>
      </c>
      <c r="C89" s="181" t="s">
        <v>82</v>
      </c>
      <c r="G89" s="66"/>
      <c r="H89"/>
      <c r="I89" s="83"/>
      <c r="N89" s="66"/>
    </row>
    <row r="90" spans="1:14" x14ac:dyDescent="0.35">
      <c r="A90" s="275" t="s">
        <v>874</v>
      </c>
      <c r="B90" s="83" t="s">
        <v>328</v>
      </c>
      <c r="C90" s="181" t="s">
        <v>82</v>
      </c>
      <c r="G90" s="66"/>
      <c r="H90"/>
      <c r="I90" s="83"/>
      <c r="N90" s="66"/>
    </row>
    <row r="91" spans="1:14" x14ac:dyDescent="0.35">
      <c r="A91" s="275" t="s">
        <v>875</v>
      </c>
      <c r="B91" s="83" t="s">
        <v>330</v>
      </c>
      <c r="C91" s="181" t="s">
        <v>82</v>
      </c>
      <c r="G91" s="66"/>
      <c r="H91"/>
      <c r="I91" s="83"/>
      <c r="N91" s="66"/>
    </row>
    <row r="92" spans="1:14" x14ac:dyDescent="0.35">
      <c r="A92" s="275" t="s">
        <v>876</v>
      </c>
      <c r="B92" s="83" t="s">
        <v>143</v>
      </c>
      <c r="C92" s="181" t="s">
        <v>82</v>
      </c>
      <c r="G92" s="66"/>
      <c r="H92"/>
      <c r="I92" s="83"/>
      <c r="N92" s="66"/>
    </row>
    <row r="93" spans="1:14" outlineLevel="1" x14ac:dyDescent="0.35">
      <c r="A93" s="66" t="s">
        <v>877</v>
      </c>
      <c r="B93" s="95" t="s">
        <v>147</v>
      </c>
      <c r="C93" s="181"/>
      <c r="G93" s="66"/>
      <c r="H93"/>
      <c r="I93" s="83"/>
      <c r="N93" s="66"/>
    </row>
    <row r="94" spans="1:14" outlineLevel="1" x14ac:dyDescent="0.35">
      <c r="A94" s="66" t="s">
        <v>878</v>
      </c>
      <c r="B94" s="95" t="s">
        <v>147</v>
      </c>
      <c r="C94" s="181"/>
      <c r="G94" s="66"/>
      <c r="H94"/>
      <c r="I94" s="83"/>
      <c r="N94" s="66"/>
    </row>
    <row r="95" spans="1:14" outlineLevel="1" x14ac:dyDescent="0.35">
      <c r="A95" s="66" t="s">
        <v>879</v>
      </c>
      <c r="B95" s="95" t="s">
        <v>147</v>
      </c>
      <c r="C95" s="181"/>
      <c r="G95" s="66"/>
      <c r="H95"/>
      <c r="I95" s="83"/>
      <c r="N95" s="66"/>
    </row>
    <row r="96" spans="1:14" outlineLevel="1" x14ac:dyDescent="0.35">
      <c r="A96" s="66" t="s">
        <v>880</v>
      </c>
      <c r="B96" s="95" t="s">
        <v>147</v>
      </c>
      <c r="C96" s="181"/>
      <c r="G96" s="66"/>
      <c r="H96"/>
      <c r="I96" s="83"/>
      <c r="N96" s="66"/>
    </row>
    <row r="97" spans="1:14" outlineLevel="1" x14ac:dyDescent="0.35">
      <c r="A97" s="66" t="s">
        <v>881</v>
      </c>
      <c r="B97" s="95" t="s">
        <v>147</v>
      </c>
      <c r="C97" s="181"/>
      <c r="G97" s="66"/>
      <c r="H97"/>
      <c r="I97" s="83"/>
      <c r="N97" s="66"/>
    </row>
    <row r="98" spans="1:14" outlineLevel="1" x14ac:dyDescent="0.35">
      <c r="A98" s="66" t="s">
        <v>882</v>
      </c>
      <c r="B98" s="95" t="s">
        <v>147</v>
      </c>
      <c r="C98" s="181"/>
      <c r="G98" s="66"/>
      <c r="H98"/>
      <c r="I98" s="83"/>
      <c r="N98" s="66"/>
    </row>
    <row r="99" spans="1:14" outlineLevel="1" x14ac:dyDescent="0.35">
      <c r="A99" s="66" t="s">
        <v>883</v>
      </c>
      <c r="B99" s="95" t="s">
        <v>147</v>
      </c>
      <c r="C99" s="181"/>
      <c r="G99" s="66"/>
      <c r="H99"/>
      <c r="I99" s="83"/>
      <c r="N99" s="66"/>
    </row>
    <row r="100" spans="1:14" outlineLevel="1" x14ac:dyDescent="0.35">
      <c r="A100" s="66" t="s">
        <v>884</v>
      </c>
      <c r="B100" s="95" t="s">
        <v>147</v>
      </c>
      <c r="C100" s="181"/>
      <c r="G100" s="66"/>
      <c r="H100"/>
      <c r="I100" s="83"/>
      <c r="N100" s="66"/>
    </row>
    <row r="101" spans="1:14" outlineLevel="1" x14ac:dyDescent="0.35">
      <c r="A101" s="66" t="s">
        <v>885</v>
      </c>
      <c r="B101" s="95" t="s">
        <v>147</v>
      </c>
      <c r="C101" s="181"/>
      <c r="G101" s="66"/>
      <c r="H101"/>
      <c r="I101" s="83"/>
      <c r="N101" s="66"/>
    </row>
    <row r="102" spans="1:14" outlineLevel="1" x14ac:dyDescent="0.35">
      <c r="A102" s="66" t="s">
        <v>886</v>
      </c>
      <c r="B102" s="95" t="s">
        <v>147</v>
      </c>
      <c r="C102" s="181"/>
      <c r="G102" s="66"/>
      <c r="H102"/>
      <c r="I102" s="83"/>
      <c r="N102" s="66"/>
    </row>
    <row r="103" spans="1:14" ht="15" customHeight="1" x14ac:dyDescent="0.35">
      <c r="A103" s="85"/>
      <c r="B103" s="193" t="s">
        <v>1551</v>
      </c>
      <c r="C103" s="182" t="s">
        <v>801</v>
      </c>
      <c r="D103" s="85"/>
      <c r="E103" s="87"/>
      <c r="F103" s="85"/>
      <c r="G103" s="88"/>
      <c r="H103"/>
      <c r="I103" s="112"/>
      <c r="J103" s="80"/>
      <c r="K103" s="80"/>
      <c r="L103" s="72"/>
      <c r="M103" s="80"/>
      <c r="N103" s="99"/>
    </row>
    <row r="104" spans="1:14" x14ac:dyDescent="0.35">
      <c r="A104" s="66" t="s">
        <v>887</v>
      </c>
      <c r="B104" s="83" t="s">
        <v>579</v>
      </c>
      <c r="C104" s="181" t="s">
        <v>82</v>
      </c>
      <c r="G104" s="66"/>
      <c r="H104"/>
      <c r="I104" s="83"/>
      <c r="N104" s="66"/>
    </row>
    <row r="105" spans="1:14" x14ac:dyDescent="0.35">
      <c r="A105" s="66" t="s">
        <v>888</v>
      </c>
      <c r="B105" s="83" t="s">
        <v>579</v>
      </c>
      <c r="C105" s="181" t="s">
        <v>82</v>
      </c>
      <c r="G105" s="66"/>
      <c r="H105"/>
      <c r="I105" s="83"/>
      <c r="N105" s="66"/>
    </row>
    <row r="106" spans="1:14" x14ac:dyDescent="0.35">
      <c r="A106" s="66" t="s">
        <v>889</v>
      </c>
      <c r="B106" s="83" t="s">
        <v>579</v>
      </c>
      <c r="C106" s="181" t="s">
        <v>82</v>
      </c>
      <c r="G106" s="66"/>
      <c r="H106"/>
      <c r="I106" s="83"/>
      <c r="N106" s="66"/>
    </row>
    <row r="107" spans="1:14" x14ac:dyDescent="0.35">
      <c r="A107" s="66" t="s">
        <v>890</v>
      </c>
      <c r="B107" s="83" t="s">
        <v>579</v>
      </c>
      <c r="C107" s="181" t="s">
        <v>82</v>
      </c>
      <c r="G107" s="66"/>
      <c r="H107"/>
      <c r="I107" s="83"/>
      <c r="N107" s="66"/>
    </row>
    <row r="108" spans="1:14" x14ac:dyDescent="0.35">
      <c r="A108" s="66" t="s">
        <v>891</v>
      </c>
      <c r="B108" s="83" t="s">
        <v>579</v>
      </c>
      <c r="C108" s="181" t="s">
        <v>82</v>
      </c>
      <c r="G108" s="66"/>
      <c r="H108"/>
      <c r="I108" s="83"/>
      <c r="N108" s="66"/>
    </row>
    <row r="109" spans="1:14" x14ac:dyDescent="0.35">
      <c r="A109" s="66" t="s">
        <v>892</v>
      </c>
      <c r="B109" s="83" t="s">
        <v>579</v>
      </c>
      <c r="C109" s="181" t="s">
        <v>82</v>
      </c>
      <c r="G109" s="66"/>
      <c r="H109"/>
      <c r="I109" s="83"/>
      <c r="N109" s="66"/>
    </row>
    <row r="110" spans="1:14" x14ac:dyDescent="0.35">
      <c r="A110" s="66" t="s">
        <v>893</v>
      </c>
      <c r="B110" s="83" t="s">
        <v>579</v>
      </c>
      <c r="C110" s="181" t="s">
        <v>82</v>
      </c>
      <c r="G110" s="66"/>
      <c r="H110"/>
      <c r="I110" s="83"/>
      <c r="N110" s="66"/>
    </row>
    <row r="111" spans="1:14" x14ac:dyDescent="0.35">
      <c r="A111" s="66" t="s">
        <v>894</v>
      </c>
      <c r="B111" s="83" t="s">
        <v>579</v>
      </c>
      <c r="C111" s="181" t="s">
        <v>82</v>
      </c>
      <c r="G111" s="66"/>
      <c r="H111"/>
      <c r="I111" s="83"/>
      <c r="N111" s="66"/>
    </row>
    <row r="112" spans="1:14" x14ac:dyDescent="0.35">
      <c r="A112" s="66" t="s">
        <v>895</v>
      </c>
      <c r="B112" s="83" t="s">
        <v>579</v>
      </c>
      <c r="C112" s="181" t="s">
        <v>82</v>
      </c>
      <c r="G112" s="66"/>
      <c r="H112"/>
      <c r="I112" s="83"/>
      <c r="N112" s="66"/>
    </row>
    <row r="113" spans="1:14" x14ac:dyDescent="0.35">
      <c r="A113" s="66" t="s">
        <v>896</v>
      </c>
      <c r="B113" s="83" t="s">
        <v>579</v>
      </c>
      <c r="C113" s="181" t="s">
        <v>82</v>
      </c>
      <c r="G113" s="66"/>
      <c r="H113"/>
      <c r="I113" s="83"/>
      <c r="N113" s="66"/>
    </row>
    <row r="114" spans="1:14" x14ac:dyDescent="0.35">
      <c r="A114" s="66" t="s">
        <v>897</v>
      </c>
      <c r="B114" s="83" t="s">
        <v>579</v>
      </c>
      <c r="C114" s="181" t="s">
        <v>82</v>
      </c>
      <c r="G114" s="66"/>
      <c r="H114"/>
      <c r="I114" s="83"/>
      <c r="N114" s="66"/>
    </row>
    <row r="115" spans="1:14" x14ac:dyDescent="0.35">
      <c r="A115" s="66" t="s">
        <v>898</v>
      </c>
      <c r="B115" s="83" t="s">
        <v>579</v>
      </c>
      <c r="C115" s="181" t="s">
        <v>82</v>
      </c>
      <c r="G115" s="66"/>
      <c r="H115"/>
      <c r="I115" s="83"/>
      <c r="N115" s="66"/>
    </row>
    <row r="116" spans="1:14" x14ac:dyDescent="0.35">
      <c r="A116" s="66" t="s">
        <v>899</v>
      </c>
      <c r="B116" s="83" t="s">
        <v>579</v>
      </c>
      <c r="C116" s="181" t="s">
        <v>82</v>
      </c>
      <c r="G116" s="66"/>
      <c r="H116"/>
      <c r="I116" s="83"/>
      <c r="N116" s="66"/>
    </row>
    <row r="117" spans="1:14" x14ac:dyDescent="0.35">
      <c r="A117" s="66" t="s">
        <v>900</v>
      </c>
      <c r="B117" s="83" t="s">
        <v>579</v>
      </c>
      <c r="C117" s="181" t="s">
        <v>82</v>
      </c>
      <c r="G117" s="66"/>
      <c r="H117"/>
      <c r="I117" s="83"/>
      <c r="N117" s="66"/>
    </row>
    <row r="118" spans="1:14" x14ac:dyDescent="0.35">
      <c r="A118" s="66" t="s">
        <v>901</v>
      </c>
      <c r="B118" s="83" t="s">
        <v>579</v>
      </c>
      <c r="C118" s="181" t="s">
        <v>82</v>
      </c>
      <c r="G118" s="66"/>
      <c r="H118"/>
      <c r="I118" s="83"/>
      <c r="N118" s="66"/>
    </row>
    <row r="119" spans="1:14" x14ac:dyDescent="0.35">
      <c r="A119" s="66" t="s">
        <v>902</v>
      </c>
      <c r="B119" s="83" t="s">
        <v>579</v>
      </c>
      <c r="C119" s="181" t="s">
        <v>82</v>
      </c>
      <c r="G119" s="66"/>
      <c r="H119"/>
      <c r="I119" s="83"/>
      <c r="N119" s="66"/>
    </row>
    <row r="120" spans="1:14" x14ac:dyDescent="0.35">
      <c r="A120" s="66" t="s">
        <v>903</v>
      </c>
      <c r="B120" s="83" t="s">
        <v>579</v>
      </c>
      <c r="C120" s="181" t="s">
        <v>82</v>
      </c>
      <c r="G120" s="66"/>
      <c r="H120"/>
      <c r="I120" s="83"/>
      <c r="N120" s="66"/>
    </row>
    <row r="121" spans="1:14" x14ac:dyDescent="0.35">
      <c r="A121" s="66" t="s">
        <v>904</v>
      </c>
      <c r="B121" s="83" t="s">
        <v>579</v>
      </c>
      <c r="C121" s="181" t="s">
        <v>82</v>
      </c>
      <c r="G121" s="66"/>
      <c r="H121"/>
      <c r="I121" s="83"/>
      <c r="N121" s="66"/>
    </row>
    <row r="122" spans="1:14" x14ac:dyDescent="0.35">
      <c r="A122" s="66" t="s">
        <v>905</v>
      </c>
      <c r="B122" s="83" t="s">
        <v>579</v>
      </c>
      <c r="C122" s="181" t="s">
        <v>82</v>
      </c>
      <c r="G122" s="66"/>
      <c r="H122"/>
      <c r="I122" s="83"/>
      <c r="N122" s="66"/>
    </row>
    <row r="123" spans="1:14" x14ac:dyDescent="0.35">
      <c r="A123" s="66" t="s">
        <v>906</v>
      </c>
      <c r="B123" s="83" t="s">
        <v>579</v>
      </c>
      <c r="C123" s="181" t="s">
        <v>82</v>
      </c>
      <c r="G123" s="66"/>
      <c r="H123"/>
      <c r="I123" s="83"/>
      <c r="N123" s="66"/>
    </row>
    <row r="124" spans="1:14" x14ac:dyDescent="0.35">
      <c r="A124" s="66" t="s">
        <v>907</v>
      </c>
      <c r="B124" s="83" t="s">
        <v>579</v>
      </c>
      <c r="C124" s="181" t="s">
        <v>82</v>
      </c>
      <c r="G124" s="66"/>
      <c r="H124"/>
      <c r="I124" s="83"/>
      <c r="N124" s="66"/>
    </row>
    <row r="125" spans="1:14" x14ac:dyDescent="0.35">
      <c r="A125" s="66" t="s">
        <v>908</v>
      </c>
      <c r="B125" s="83" t="s">
        <v>579</v>
      </c>
      <c r="C125" s="181" t="s">
        <v>82</v>
      </c>
      <c r="G125" s="66"/>
      <c r="H125"/>
      <c r="I125" s="83"/>
      <c r="N125" s="66"/>
    </row>
    <row r="126" spans="1:14" x14ac:dyDescent="0.35">
      <c r="A126" s="66" t="s">
        <v>909</v>
      </c>
      <c r="B126" s="83" t="s">
        <v>579</v>
      </c>
      <c r="C126" s="181" t="s">
        <v>82</v>
      </c>
      <c r="G126" s="66"/>
      <c r="H126"/>
      <c r="I126" s="83"/>
      <c r="N126" s="66"/>
    </row>
    <row r="127" spans="1:14" x14ac:dyDescent="0.35">
      <c r="A127" s="66" t="s">
        <v>910</v>
      </c>
      <c r="B127" s="83" t="s">
        <v>579</v>
      </c>
      <c r="C127" s="181" t="s">
        <v>82</v>
      </c>
      <c r="G127" s="66"/>
      <c r="H127"/>
      <c r="I127" s="83"/>
      <c r="N127" s="66"/>
    </row>
    <row r="128" spans="1:14" x14ac:dyDescent="0.35">
      <c r="A128" s="66" t="s">
        <v>911</v>
      </c>
      <c r="B128" s="83" t="s">
        <v>579</v>
      </c>
      <c r="C128" s="66" t="s">
        <v>82</v>
      </c>
      <c r="G128" s="66"/>
      <c r="H128"/>
      <c r="I128" s="83"/>
      <c r="N128" s="66"/>
    </row>
    <row r="129" spans="1:14" x14ac:dyDescent="0.35">
      <c r="A129" s="85"/>
      <c r="B129" s="86" t="s">
        <v>610</v>
      </c>
      <c r="C129" s="85" t="s">
        <v>801</v>
      </c>
      <c r="D129" s="85"/>
      <c r="E129" s="85"/>
      <c r="F129" s="88"/>
      <c r="G129" s="88"/>
      <c r="H129"/>
      <c r="I129" s="112"/>
      <c r="J129" s="80"/>
      <c r="K129" s="80"/>
      <c r="L129" s="80"/>
      <c r="M129" s="99"/>
      <c r="N129" s="99"/>
    </row>
    <row r="130" spans="1:14" x14ac:dyDescent="0.35">
      <c r="A130" s="66" t="s">
        <v>912</v>
      </c>
      <c r="B130" s="66" t="s">
        <v>612</v>
      </c>
      <c r="C130" s="181" t="s">
        <v>82</v>
      </c>
      <c r="D130"/>
      <c r="E130"/>
      <c r="F130"/>
      <c r="G130"/>
      <c r="H130"/>
      <c r="K130" s="108"/>
      <c r="L130" s="108"/>
      <c r="M130" s="108"/>
      <c r="N130" s="108"/>
    </row>
    <row r="131" spans="1:14" x14ac:dyDescent="0.35">
      <c r="A131" s="66" t="s">
        <v>913</v>
      </c>
      <c r="B131" s="66" t="s">
        <v>614</v>
      </c>
      <c r="C131" s="181" t="s">
        <v>82</v>
      </c>
      <c r="D131"/>
      <c r="E131"/>
      <c r="F131"/>
      <c r="G131"/>
      <c r="H131"/>
      <c r="K131" s="108"/>
      <c r="L131" s="108"/>
      <c r="M131" s="108"/>
      <c r="N131" s="108"/>
    </row>
    <row r="132" spans="1:14" x14ac:dyDescent="0.35">
      <c r="A132" s="66" t="s">
        <v>914</v>
      </c>
      <c r="B132" s="66" t="s">
        <v>143</v>
      </c>
      <c r="C132" s="181" t="s">
        <v>82</v>
      </c>
      <c r="D132"/>
      <c r="E132"/>
      <c r="F132"/>
      <c r="G132"/>
      <c r="H132"/>
      <c r="K132" s="108"/>
      <c r="L132" s="108"/>
      <c r="M132" s="108"/>
      <c r="N132" s="108"/>
    </row>
    <row r="133" spans="1:14" outlineLevel="1" x14ac:dyDescent="0.35">
      <c r="A133" s="66" t="s">
        <v>915</v>
      </c>
      <c r="C133" s="181"/>
      <c r="D133"/>
      <c r="E133"/>
      <c r="F133"/>
      <c r="G133"/>
      <c r="H133"/>
      <c r="K133" s="108"/>
      <c r="L133" s="108"/>
      <c r="M133" s="108"/>
      <c r="N133" s="108"/>
    </row>
    <row r="134" spans="1:14" outlineLevel="1" x14ac:dyDescent="0.35">
      <c r="A134" s="66" t="s">
        <v>916</v>
      </c>
      <c r="C134" s="181"/>
      <c r="D134"/>
      <c r="E134"/>
      <c r="F134"/>
      <c r="G134"/>
      <c r="H134"/>
      <c r="K134" s="108"/>
      <c r="L134" s="108"/>
      <c r="M134" s="108"/>
      <c r="N134" s="108"/>
    </row>
    <row r="135" spans="1:14" outlineLevel="1" x14ac:dyDescent="0.35">
      <c r="A135" s="66" t="s">
        <v>917</v>
      </c>
      <c r="C135" s="181"/>
      <c r="D135"/>
      <c r="E135"/>
      <c r="F135"/>
      <c r="G135"/>
      <c r="H135"/>
      <c r="K135" s="108"/>
      <c r="L135" s="108"/>
      <c r="M135" s="108"/>
      <c r="N135" s="108"/>
    </row>
    <row r="136" spans="1:14" outlineLevel="1" x14ac:dyDescent="0.35">
      <c r="A136" s="66" t="s">
        <v>918</v>
      </c>
      <c r="C136" s="181"/>
      <c r="D136"/>
      <c r="E136"/>
      <c r="F136"/>
      <c r="G136"/>
      <c r="H136"/>
      <c r="K136" s="108"/>
      <c r="L136" s="108"/>
      <c r="M136" s="108"/>
      <c r="N136" s="108"/>
    </row>
    <row r="137" spans="1:14" x14ac:dyDescent="0.35">
      <c r="A137" s="85"/>
      <c r="B137" s="86" t="s">
        <v>622</v>
      </c>
      <c r="C137" s="85" t="s">
        <v>801</v>
      </c>
      <c r="D137" s="85"/>
      <c r="E137" s="85"/>
      <c r="F137" s="88"/>
      <c r="G137" s="88"/>
      <c r="H137"/>
      <c r="I137" s="112"/>
      <c r="J137" s="80"/>
      <c r="K137" s="80"/>
      <c r="L137" s="80"/>
      <c r="M137" s="99"/>
      <c r="N137" s="99"/>
    </row>
    <row r="138" spans="1:14" x14ac:dyDescent="0.35">
      <c r="A138" s="66" t="s">
        <v>919</v>
      </c>
      <c r="B138" s="66" t="s">
        <v>624</v>
      </c>
      <c r="C138" s="181" t="s">
        <v>82</v>
      </c>
      <c r="D138" s="114"/>
      <c r="E138" s="114"/>
      <c r="F138" s="103"/>
      <c r="G138" s="91"/>
      <c r="H138"/>
      <c r="K138" s="114"/>
      <c r="L138" s="114"/>
      <c r="M138" s="103"/>
      <c r="N138" s="91"/>
    </row>
    <row r="139" spans="1:14" x14ac:dyDescent="0.35">
      <c r="A139" s="66" t="s">
        <v>920</v>
      </c>
      <c r="B139" s="66" t="s">
        <v>626</v>
      </c>
      <c r="C139" s="181" t="s">
        <v>82</v>
      </c>
      <c r="D139" s="114"/>
      <c r="E139" s="114"/>
      <c r="F139" s="103"/>
      <c r="G139" s="91"/>
      <c r="H139"/>
      <c r="K139" s="114"/>
      <c r="L139" s="114"/>
      <c r="M139" s="103"/>
      <c r="N139" s="91"/>
    </row>
    <row r="140" spans="1:14" x14ac:dyDescent="0.35">
      <c r="A140" s="66" t="s">
        <v>921</v>
      </c>
      <c r="B140" s="66" t="s">
        <v>143</v>
      </c>
      <c r="C140" s="181" t="s">
        <v>82</v>
      </c>
      <c r="D140" s="114"/>
      <c r="E140" s="114"/>
      <c r="F140" s="103"/>
      <c r="G140" s="91"/>
      <c r="H140"/>
      <c r="K140" s="114"/>
      <c r="L140" s="114"/>
      <c r="M140" s="103"/>
      <c r="N140" s="91"/>
    </row>
    <row r="141" spans="1:14" outlineLevel="1" x14ac:dyDescent="0.35">
      <c r="A141" s="66" t="s">
        <v>922</v>
      </c>
      <c r="C141" s="181"/>
      <c r="D141" s="114"/>
      <c r="E141" s="114"/>
      <c r="F141" s="103"/>
      <c r="G141" s="91"/>
      <c r="H141"/>
      <c r="K141" s="114"/>
      <c r="L141" s="114"/>
      <c r="M141" s="103"/>
      <c r="N141" s="91"/>
    </row>
    <row r="142" spans="1:14" outlineLevel="1" x14ac:dyDescent="0.35">
      <c r="A142" s="66" t="s">
        <v>923</v>
      </c>
      <c r="C142" s="181"/>
      <c r="D142" s="114"/>
      <c r="E142" s="114"/>
      <c r="F142" s="103"/>
      <c r="G142" s="91"/>
      <c r="H142"/>
      <c r="K142" s="114"/>
      <c r="L142" s="114"/>
      <c r="M142" s="103"/>
      <c r="N142" s="91"/>
    </row>
    <row r="143" spans="1:14" outlineLevel="1" x14ac:dyDescent="0.35">
      <c r="A143" s="66" t="s">
        <v>924</v>
      </c>
      <c r="C143" s="181"/>
      <c r="D143" s="114"/>
      <c r="E143" s="114"/>
      <c r="F143" s="103"/>
      <c r="G143" s="91"/>
      <c r="H143"/>
      <c r="K143" s="114"/>
      <c r="L143" s="114"/>
      <c r="M143" s="103"/>
      <c r="N143" s="91"/>
    </row>
    <row r="144" spans="1:14" outlineLevel="1" x14ac:dyDescent="0.35">
      <c r="A144" s="66" t="s">
        <v>925</v>
      </c>
      <c r="C144" s="181"/>
      <c r="D144" s="114"/>
      <c r="E144" s="114"/>
      <c r="F144" s="103"/>
      <c r="G144" s="91"/>
      <c r="H144"/>
      <c r="K144" s="114"/>
      <c r="L144" s="114"/>
      <c r="M144" s="103"/>
      <c r="N144" s="91"/>
    </row>
    <row r="145" spans="1:14" outlineLevel="1" x14ac:dyDescent="0.35">
      <c r="A145" s="66" t="s">
        <v>926</v>
      </c>
      <c r="C145" s="181"/>
      <c r="D145" s="114"/>
      <c r="E145" s="114"/>
      <c r="F145" s="103"/>
      <c r="G145" s="91"/>
      <c r="H145"/>
      <c r="K145" s="114"/>
      <c r="L145" s="114"/>
      <c r="M145" s="103"/>
      <c r="N145" s="91"/>
    </row>
    <row r="146" spans="1:14" outlineLevel="1" x14ac:dyDescent="0.35">
      <c r="A146" s="66" t="s">
        <v>927</v>
      </c>
      <c r="C146" s="181"/>
      <c r="D146" s="114"/>
      <c r="E146" s="114"/>
      <c r="F146" s="103"/>
      <c r="G146" s="91"/>
      <c r="H146"/>
      <c r="K146" s="114"/>
      <c r="L146" s="114"/>
      <c r="M146" s="103"/>
      <c r="N146" s="91"/>
    </row>
    <row r="147" spans="1:14" x14ac:dyDescent="0.35">
      <c r="A147" s="85"/>
      <c r="B147" s="86" t="s">
        <v>928</v>
      </c>
      <c r="C147" s="85" t="s">
        <v>112</v>
      </c>
      <c r="D147" s="85"/>
      <c r="E147" s="85"/>
      <c r="F147" s="85" t="s">
        <v>801</v>
      </c>
      <c r="G147" s="88"/>
      <c r="H147"/>
      <c r="I147" s="112"/>
      <c r="J147" s="80"/>
      <c r="K147" s="80"/>
      <c r="L147" s="80"/>
      <c r="M147" s="80"/>
      <c r="N147" s="99"/>
    </row>
    <row r="148" spans="1:14" x14ac:dyDescent="0.35">
      <c r="A148" s="66" t="s">
        <v>929</v>
      </c>
      <c r="B148" s="83" t="s">
        <v>930</v>
      </c>
      <c r="C148" s="187" t="s">
        <v>82</v>
      </c>
      <c r="D148" s="114"/>
      <c r="E148" s="114"/>
      <c r="F148" s="199" t="str">
        <f>IF($C$152=0,"",IF(C148="[for completion]","",C148/$C$152))</f>
        <v/>
      </c>
      <c r="G148" s="91"/>
      <c r="H148"/>
      <c r="I148" s="83"/>
      <c r="K148" s="114"/>
      <c r="L148" s="114"/>
      <c r="M148" s="92"/>
      <c r="N148" s="91"/>
    </row>
    <row r="149" spans="1:14" x14ac:dyDescent="0.35">
      <c r="A149" s="66" t="s">
        <v>931</v>
      </c>
      <c r="B149" s="83" t="s">
        <v>932</v>
      </c>
      <c r="C149" s="187" t="s">
        <v>82</v>
      </c>
      <c r="D149" s="114"/>
      <c r="E149" s="114"/>
      <c r="F149" s="199" t="str">
        <f>IF($C$152=0,"",IF(C149="[for completion]","",C149/$C$152))</f>
        <v/>
      </c>
      <c r="G149" s="91"/>
      <c r="H149"/>
      <c r="I149" s="83"/>
      <c r="K149" s="114"/>
      <c r="L149" s="114"/>
      <c r="M149" s="92"/>
      <c r="N149" s="91"/>
    </row>
    <row r="150" spans="1:14" x14ac:dyDescent="0.35">
      <c r="A150" s="66" t="s">
        <v>933</v>
      </c>
      <c r="B150" s="83" t="s">
        <v>934</v>
      </c>
      <c r="C150" s="187" t="s">
        <v>82</v>
      </c>
      <c r="D150" s="114"/>
      <c r="E150" s="114"/>
      <c r="F150" s="199" t="str">
        <f>IF($C$152=0,"",IF(C150="[for completion]","",C150/$C$152))</f>
        <v/>
      </c>
      <c r="G150" s="91"/>
      <c r="H150"/>
      <c r="I150" s="83"/>
      <c r="K150" s="114"/>
      <c r="L150" s="114"/>
      <c r="M150" s="92"/>
      <c r="N150" s="91"/>
    </row>
    <row r="151" spans="1:14" ht="15" customHeight="1" x14ac:dyDescent="0.35">
      <c r="A151" s="66" t="s">
        <v>935</v>
      </c>
      <c r="B151" s="83" t="s">
        <v>936</v>
      </c>
      <c r="C151" s="187" t="s">
        <v>82</v>
      </c>
      <c r="D151" s="114"/>
      <c r="E151" s="114"/>
      <c r="F151" s="199" t="str">
        <f>IF($C$152=0,"",IF(C151="[for completion]","",C151/$C$152))</f>
        <v/>
      </c>
      <c r="G151" s="91"/>
      <c r="H151"/>
      <c r="I151" s="83"/>
      <c r="K151" s="114"/>
      <c r="L151" s="114"/>
      <c r="M151" s="92"/>
      <c r="N151" s="91"/>
    </row>
    <row r="152" spans="1:14" ht="15" customHeight="1" x14ac:dyDescent="0.35">
      <c r="A152" s="66" t="s">
        <v>937</v>
      </c>
      <c r="B152" s="93" t="s">
        <v>145</v>
      </c>
      <c r="C152" s="189">
        <f>SUM(C148:C151)</f>
        <v>0</v>
      </c>
      <c r="D152" s="114"/>
      <c r="E152" s="114"/>
      <c r="F152" s="181">
        <f>SUM(F148:F151)</f>
        <v>0</v>
      </c>
      <c r="G152" s="91"/>
      <c r="H152"/>
      <c r="I152" s="83"/>
      <c r="K152" s="114"/>
      <c r="L152" s="114"/>
      <c r="M152" s="92"/>
      <c r="N152" s="91"/>
    </row>
    <row r="153" spans="1:14" ht="15" customHeight="1" outlineLevel="1" x14ac:dyDescent="0.35">
      <c r="A153" s="66" t="s">
        <v>938</v>
      </c>
      <c r="B153" s="95" t="s">
        <v>939</v>
      </c>
      <c r="D153" s="114"/>
      <c r="E153" s="114"/>
      <c r="F153" s="199" t="str">
        <f>IF($C$152=0,"",IF(C153="[for completion]","",C153/$C$152))</f>
        <v/>
      </c>
      <c r="G153" s="91"/>
      <c r="H153"/>
      <c r="I153" s="83"/>
      <c r="K153" s="114"/>
      <c r="L153" s="114"/>
      <c r="M153" s="92"/>
      <c r="N153" s="91"/>
    </row>
    <row r="154" spans="1:14" ht="15" customHeight="1" outlineLevel="1" x14ac:dyDescent="0.35">
      <c r="A154" s="66" t="s">
        <v>940</v>
      </c>
      <c r="B154" s="95" t="s">
        <v>941</v>
      </c>
      <c r="D154" s="114"/>
      <c r="E154" s="114"/>
      <c r="F154" s="199" t="str">
        <f t="shared" ref="F154:F159" si="2">IF($C$152=0,"",IF(C154="[for completion]","",C154/$C$152))</f>
        <v/>
      </c>
      <c r="G154" s="91"/>
      <c r="H154"/>
      <c r="I154" s="83"/>
      <c r="K154" s="114"/>
      <c r="L154" s="114"/>
      <c r="M154" s="92"/>
      <c r="N154" s="91"/>
    </row>
    <row r="155" spans="1:14" ht="15" customHeight="1" outlineLevel="1" x14ac:dyDescent="0.35">
      <c r="A155" s="66" t="s">
        <v>942</v>
      </c>
      <c r="B155" s="95" t="s">
        <v>943</v>
      </c>
      <c r="D155" s="114"/>
      <c r="E155" s="114"/>
      <c r="F155" s="199" t="str">
        <f t="shared" si="2"/>
        <v/>
      </c>
      <c r="G155" s="91"/>
      <c r="H155"/>
      <c r="I155" s="83"/>
      <c r="K155" s="114"/>
      <c r="L155" s="114"/>
      <c r="M155" s="92"/>
      <c r="N155" s="91"/>
    </row>
    <row r="156" spans="1:14" ht="15" customHeight="1" outlineLevel="1" x14ac:dyDescent="0.35">
      <c r="A156" s="66" t="s">
        <v>944</v>
      </c>
      <c r="B156" s="95" t="s">
        <v>945</v>
      </c>
      <c r="D156" s="114"/>
      <c r="E156" s="114"/>
      <c r="F156" s="199" t="str">
        <f t="shared" si="2"/>
        <v/>
      </c>
      <c r="G156" s="91"/>
      <c r="H156"/>
      <c r="I156" s="83"/>
      <c r="K156" s="114"/>
      <c r="L156" s="114"/>
      <c r="M156" s="92"/>
      <c r="N156" s="91"/>
    </row>
    <row r="157" spans="1:14" ht="15" customHeight="1" outlineLevel="1" x14ac:dyDescent="0.35">
      <c r="A157" s="66" t="s">
        <v>946</v>
      </c>
      <c r="B157" s="95" t="s">
        <v>947</v>
      </c>
      <c r="D157" s="114"/>
      <c r="E157" s="114"/>
      <c r="F157" s="199" t="str">
        <f t="shared" si="2"/>
        <v/>
      </c>
      <c r="G157" s="91"/>
      <c r="H157"/>
      <c r="I157" s="83"/>
      <c r="K157" s="114"/>
      <c r="L157" s="114"/>
      <c r="M157" s="92"/>
      <c r="N157" s="91"/>
    </row>
    <row r="158" spans="1:14" ht="15" customHeight="1" outlineLevel="1" x14ac:dyDescent="0.35">
      <c r="A158" s="66" t="s">
        <v>948</v>
      </c>
      <c r="B158" s="95" t="s">
        <v>949</v>
      </c>
      <c r="D158" s="114"/>
      <c r="E158" s="114"/>
      <c r="F158" s="199" t="str">
        <f t="shared" si="2"/>
        <v/>
      </c>
      <c r="G158" s="91"/>
      <c r="H158"/>
      <c r="I158" s="83"/>
      <c r="K158" s="114"/>
      <c r="L158" s="114"/>
      <c r="M158" s="92"/>
      <c r="N158" s="91"/>
    </row>
    <row r="159" spans="1:14" ht="15" customHeight="1" outlineLevel="1" x14ac:dyDescent="0.35">
      <c r="A159" s="66" t="s">
        <v>950</v>
      </c>
      <c r="B159" s="95" t="s">
        <v>951</v>
      </c>
      <c r="D159" s="114"/>
      <c r="E159" s="114"/>
      <c r="F159" s="199" t="str">
        <f t="shared" si="2"/>
        <v/>
      </c>
      <c r="G159" s="91"/>
      <c r="H159"/>
      <c r="I159" s="83"/>
      <c r="K159" s="114"/>
      <c r="L159" s="114"/>
      <c r="M159" s="92"/>
      <c r="N159" s="91"/>
    </row>
    <row r="160" spans="1:14" ht="15" customHeight="1" outlineLevel="1" x14ac:dyDescent="0.35">
      <c r="A160" s="66" t="s">
        <v>952</v>
      </c>
      <c r="B160" s="95"/>
      <c r="D160" s="114"/>
      <c r="E160" s="114"/>
      <c r="F160" s="92"/>
      <c r="G160" s="91"/>
      <c r="H160"/>
      <c r="I160" s="83"/>
      <c r="K160" s="114"/>
      <c r="L160" s="114"/>
      <c r="M160" s="92"/>
      <c r="N160" s="91"/>
    </row>
    <row r="161" spans="1:14" ht="15" customHeight="1" outlineLevel="1" x14ac:dyDescent="0.35">
      <c r="A161" s="66" t="s">
        <v>953</v>
      </c>
      <c r="B161" s="95"/>
      <c r="D161" s="114"/>
      <c r="E161" s="114"/>
      <c r="F161" s="92"/>
      <c r="G161" s="91"/>
      <c r="H161"/>
      <c r="I161" s="83"/>
      <c r="K161" s="114"/>
      <c r="L161" s="114"/>
      <c r="M161" s="92"/>
      <c r="N161" s="91"/>
    </row>
    <row r="162" spans="1:14" ht="15" customHeight="1" outlineLevel="1" x14ac:dyDescent="0.35">
      <c r="A162" s="66" t="s">
        <v>954</v>
      </c>
      <c r="B162" s="95"/>
      <c r="D162" s="114"/>
      <c r="E162" s="114"/>
      <c r="F162" s="92"/>
      <c r="G162" s="91"/>
      <c r="H162"/>
      <c r="I162" s="83"/>
      <c r="K162" s="114"/>
      <c r="L162" s="114"/>
      <c r="M162" s="92"/>
      <c r="N162" s="91"/>
    </row>
    <row r="163" spans="1:14" ht="15" customHeight="1" outlineLevel="1" x14ac:dyDescent="0.35">
      <c r="A163" s="66" t="s">
        <v>955</v>
      </c>
      <c r="B163" s="95"/>
      <c r="D163" s="114"/>
      <c r="E163" s="114"/>
      <c r="F163" s="92"/>
      <c r="G163" s="91"/>
      <c r="H163"/>
      <c r="I163" s="83"/>
      <c r="K163" s="114"/>
      <c r="L163" s="114"/>
      <c r="M163" s="92"/>
      <c r="N163" s="91"/>
    </row>
    <row r="164" spans="1:14" ht="15" customHeight="1" outlineLevel="1" x14ac:dyDescent="0.35">
      <c r="A164" s="66" t="s">
        <v>956</v>
      </c>
      <c r="B164" s="83"/>
      <c r="D164" s="114"/>
      <c r="E164" s="114"/>
      <c r="F164" s="92"/>
      <c r="G164" s="91"/>
      <c r="H164"/>
      <c r="I164" s="83"/>
      <c r="K164" s="114"/>
      <c r="L164" s="114"/>
      <c r="M164" s="92"/>
      <c r="N164" s="91"/>
    </row>
    <row r="165" spans="1:14" outlineLevel="1" x14ac:dyDescent="0.35">
      <c r="A165" s="66" t="s">
        <v>957</v>
      </c>
      <c r="B165" s="96"/>
      <c r="C165" s="96"/>
      <c r="D165" s="96"/>
      <c r="E165" s="96"/>
      <c r="F165" s="92"/>
      <c r="G165" s="91"/>
      <c r="H165"/>
      <c r="I165" s="93"/>
      <c r="J165" s="83"/>
      <c r="K165" s="114"/>
      <c r="L165" s="114"/>
      <c r="M165" s="103"/>
      <c r="N165" s="91"/>
    </row>
    <row r="166" spans="1:14" ht="15" customHeight="1" x14ac:dyDescent="0.35">
      <c r="A166" s="85"/>
      <c r="B166" s="386" t="s">
        <v>958</v>
      </c>
      <c r="C166" s="85" t="s">
        <v>801</v>
      </c>
      <c r="D166" s="85"/>
      <c r="E166" s="85"/>
      <c r="F166" s="88"/>
      <c r="G166" s="88"/>
      <c r="H166"/>
      <c r="I166" s="112"/>
      <c r="J166" s="80"/>
      <c r="K166" s="80"/>
      <c r="L166" s="80"/>
      <c r="M166" s="99"/>
      <c r="N166" s="99"/>
    </row>
    <row r="167" spans="1:14" x14ac:dyDescent="0.35">
      <c r="A167" s="66" t="s">
        <v>959</v>
      </c>
      <c r="B167" s="362" t="s">
        <v>651</v>
      </c>
      <c r="C167" s="181" t="s">
        <v>82</v>
      </c>
      <c r="D167"/>
      <c r="E167" s="64"/>
      <c r="F167" s="64"/>
      <c r="G167"/>
      <c r="H167"/>
      <c r="K167" s="108"/>
      <c r="L167" s="64"/>
      <c r="M167" s="64"/>
      <c r="N167" s="108"/>
    </row>
    <row r="168" spans="1:14" outlineLevel="1" x14ac:dyDescent="0.35">
      <c r="A168" s="66" t="s">
        <v>960</v>
      </c>
      <c r="B168" s="231" t="s">
        <v>2670</v>
      </c>
      <c r="C168" s="364" t="s">
        <v>82</v>
      </c>
      <c r="D168"/>
      <c r="E168" s="64"/>
      <c r="F168" s="64"/>
      <c r="G168"/>
      <c r="H168"/>
      <c r="K168" s="108"/>
      <c r="L168" s="64"/>
      <c r="M168" s="64"/>
      <c r="N168" s="108"/>
    </row>
    <row r="169" spans="1:14" outlineLevel="1" x14ac:dyDescent="0.35">
      <c r="A169" s="66" t="s">
        <v>961</v>
      </c>
      <c r="D169"/>
      <c r="E169" s="64"/>
      <c r="F169" s="64"/>
      <c r="G169"/>
      <c r="H169"/>
      <c r="K169" s="108"/>
      <c r="L169" s="64"/>
      <c r="M169" s="64"/>
      <c r="N169" s="108"/>
    </row>
    <row r="170" spans="1:14" outlineLevel="1" x14ac:dyDescent="0.35">
      <c r="A170" s="66" t="s">
        <v>962</v>
      </c>
      <c r="D170"/>
      <c r="E170" s="64"/>
      <c r="F170" s="64"/>
      <c r="G170"/>
      <c r="H170"/>
      <c r="K170" s="108"/>
      <c r="L170" s="64"/>
      <c r="M170" s="64"/>
      <c r="N170" s="108"/>
    </row>
    <row r="171" spans="1:14" outlineLevel="1" x14ac:dyDescent="0.35">
      <c r="A171" s="66" t="s">
        <v>963</v>
      </c>
      <c r="D171"/>
      <c r="E171" s="64"/>
      <c r="F171" s="64"/>
      <c r="G171"/>
      <c r="H171"/>
      <c r="K171" s="108"/>
      <c r="L171" s="64"/>
      <c r="M171" s="64"/>
      <c r="N171" s="108"/>
    </row>
    <row r="172" spans="1:14" x14ac:dyDescent="0.35">
      <c r="A172" s="85"/>
      <c r="B172" s="86" t="s">
        <v>964</v>
      </c>
      <c r="C172" s="85" t="s">
        <v>801</v>
      </c>
      <c r="D172" s="85"/>
      <c r="E172" s="85"/>
      <c r="F172" s="88"/>
      <c r="G172" s="88"/>
      <c r="H172"/>
      <c r="I172" s="112"/>
      <c r="J172" s="80"/>
      <c r="K172" s="80"/>
      <c r="L172" s="80"/>
      <c r="M172" s="99"/>
      <c r="N172" s="99"/>
    </row>
    <row r="173" spans="1:14" ht="15" customHeight="1" x14ac:dyDescent="0.35">
      <c r="A173" s="66" t="s">
        <v>965</v>
      </c>
      <c r="B173" s="66" t="s">
        <v>966</v>
      </c>
      <c r="C173" s="181" t="s">
        <v>82</v>
      </c>
      <c r="D173"/>
      <c r="E173"/>
      <c r="F173"/>
      <c r="G173"/>
      <c r="H173"/>
      <c r="K173" s="108"/>
      <c r="L173" s="108"/>
      <c r="M173" s="108"/>
      <c r="N173" s="108"/>
    </row>
    <row r="174" spans="1:14" outlineLevel="1" x14ac:dyDescent="0.35">
      <c r="A174" s="66" t="s">
        <v>967</v>
      </c>
      <c r="D174"/>
      <c r="E174"/>
      <c r="F174"/>
      <c r="G174"/>
      <c r="H174"/>
      <c r="K174" s="108"/>
      <c r="L174" s="108"/>
      <c r="M174" s="108"/>
      <c r="N174" s="108"/>
    </row>
    <row r="175" spans="1:14" outlineLevel="1" x14ac:dyDescent="0.35">
      <c r="A175" s="66" t="s">
        <v>968</v>
      </c>
      <c r="D175"/>
      <c r="E175"/>
      <c r="F175"/>
      <c r="G175"/>
      <c r="H175"/>
      <c r="K175" s="108"/>
      <c r="L175" s="108"/>
      <c r="M175" s="108"/>
      <c r="N175" s="108"/>
    </row>
    <row r="176" spans="1:14" outlineLevel="1" x14ac:dyDescent="0.35">
      <c r="A176" s="66" t="s">
        <v>969</v>
      </c>
      <c r="D176"/>
      <c r="E176"/>
      <c r="F176"/>
      <c r="G176"/>
      <c r="H176"/>
      <c r="K176" s="108"/>
      <c r="L176" s="108"/>
      <c r="M176" s="108"/>
      <c r="N176" s="108"/>
    </row>
    <row r="177" spans="1:14" outlineLevel="1" x14ac:dyDescent="0.35">
      <c r="A177" s="66" t="s">
        <v>970</v>
      </c>
      <c r="D177"/>
      <c r="E177"/>
      <c r="F177"/>
      <c r="G177"/>
      <c r="H177"/>
      <c r="K177" s="108"/>
      <c r="L177" s="108"/>
      <c r="M177" s="108"/>
      <c r="N177" s="108"/>
    </row>
    <row r="178" spans="1:14" outlineLevel="1" x14ac:dyDescent="0.35">
      <c r="A178" s="66" t="s">
        <v>971</v>
      </c>
    </row>
    <row r="179" spans="1:14" outlineLevel="1" x14ac:dyDescent="0.35">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7" sqref="C7"/>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4" t="s">
        <v>973</v>
      </c>
      <c r="B1" s="184"/>
      <c r="C1" s="64"/>
      <c r="D1" s="64"/>
      <c r="E1" s="64"/>
      <c r="F1" s="369" t="s">
        <v>2773</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5" t="s">
        <v>974</v>
      </c>
      <c r="C5" s="70"/>
      <c r="E5" s="72"/>
      <c r="F5" s="72"/>
    </row>
    <row r="6" spans="1:7" ht="15" thickBot="1" x14ac:dyDescent="0.4">
      <c r="B6" s="116" t="s">
        <v>975</v>
      </c>
    </row>
    <row r="7" spans="1:7" x14ac:dyDescent="0.35">
      <c r="B7" s="76"/>
    </row>
    <row r="8" spans="1:7" ht="37" x14ac:dyDescent="0.35">
      <c r="A8" s="77" t="s">
        <v>80</v>
      </c>
      <c r="B8" s="77" t="s">
        <v>975</v>
      </c>
      <c r="C8" s="78"/>
      <c r="D8" s="78"/>
      <c r="E8" s="78"/>
      <c r="F8" s="78"/>
      <c r="G8" s="79"/>
    </row>
    <row r="9" spans="1:7" ht="15" customHeight="1" x14ac:dyDescent="0.35">
      <c r="A9" s="85"/>
      <c r="B9" s="86" t="s">
        <v>789</v>
      </c>
      <c r="C9" s="85" t="s">
        <v>976</v>
      </c>
      <c r="D9" s="85"/>
      <c r="E9" s="87"/>
      <c r="F9" s="85"/>
      <c r="G9" s="88"/>
    </row>
    <row r="10" spans="1:7" x14ac:dyDescent="0.35">
      <c r="A10" s="66" t="s">
        <v>977</v>
      </c>
      <c r="B10" s="66" t="s">
        <v>978</v>
      </c>
      <c r="C10" s="188" t="s">
        <v>82</v>
      </c>
    </row>
    <row r="11" spans="1:7" outlineLevel="1" x14ac:dyDescent="0.35">
      <c r="A11" s="66" t="s">
        <v>979</v>
      </c>
      <c r="B11" s="81" t="s">
        <v>480</v>
      </c>
      <c r="C11" s="188"/>
    </row>
    <row r="12" spans="1:7" outlineLevel="1" x14ac:dyDescent="0.35">
      <c r="A12" s="66" t="s">
        <v>980</v>
      </c>
      <c r="B12" s="81" t="s">
        <v>482</v>
      </c>
      <c r="C12" s="188"/>
    </row>
    <row r="13" spans="1:7" outlineLevel="1" x14ac:dyDescent="0.35">
      <c r="A13" s="66" t="s">
        <v>981</v>
      </c>
      <c r="B13" s="81"/>
    </row>
    <row r="14" spans="1:7" outlineLevel="1" x14ac:dyDescent="0.35">
      <c r="A14" s="66" t="s">
        <v>982</v>
      </c>
      <c r="B14" s="81"/>
    </row>
    <row r="15" spans="1:7" outlineLevel="1" x14ac:dyDescent="0.35">
      <c r="A15" s="66" t="s">
        <v>983</v>
      </c>
      <c r="B15" s="81"/>
    </row>
    <row r="16" spans="1:7" outlineLevel="1" x14ac:dyDescent="0.35">
      <c r="A16" s="66" t="s">
        <v>984</v>
      </c>
      <c r="B16" s="81"/>
    </row>
    <row r="17" spans="1:7" ht="15" customHeight="1" x14ac:dyDescent="0.35">
      <c r="A17" s="85"/>
      <c r="B17" s="86" t="s">
        <v>985</v>
      </c>
      <c r="C17" s="85" t="s">
        <v>986</v>
      </c>
      <c r="D17" s="85"/>
      <c r="E17" s="87"/>
      <c r="F17" s="88"/>
      <c r="G17" s="88"/>
    </row>
    <row r="18" spans="1:7" x14ac:dyDescent="0.35">
      <c r="A18" s="66" t="s">
        <v>987</v>
      </c>
      <c r="B18" s="66" t="s">
        <v>489</v>
      </c>
      <c r="C18" s="181" t="s">
        <v>82</v>
      </c>
    </row>
    <row r="19" spans="1:7" outlineLevel="1" x14ac:dyDescent="0.35">
      <c r="A19" s="66" t="s">
        <v>988</v>
      </c>
      <c r="C19" s="181"/>
    </row>
    <row r="20" spans="1:7" outlineLevel="1" x14ac:dyDescent="0.35">
      <c r="A20" s="66" t="s">
        <v>989</v>
      </c>
      <c r="C20" s="181"/>
    </row>
    <row r="21" spans="1:7" outlineLevel="1" x14ac:dyDescent="0.35">
      <c r="A21" s="66" t="s">
        <v>990</v>
      </c>
      <c r="C21" s="181"/>
    </row>
    <row r="22" spans="1:7" outlineLevel="1" x14ac:dyDescent="0.35">
      <c r="A22" s="66" t="s">
        <v>991</v>
      </c>
      <c r="C22" s="181"/>
    </row>
    <row r="23" spans="1:7" outlineLevel="1" x14ac:dyDescent="0.35">
      <c r="A23" s="66" t="s">
        <v>992</v>
      </c>
      <c r="C23" s="181"/>
    </row>
    <row r="24" spans="1:7" outlineLevel="1" x14ac:dyDescent="0.35">
      <c r="A24" s="66" t="s">
        <v>993</v>
      </c>
      <c r="C24" s="181"/>
    </row>
    <row r="25" spans="1:7" ht="15" customHeight="1" x14ac:dyDescent="0.35">
      <c r="A25" s="85"/>
      <c r="B25" s="86" t="s">
        <v>994</v>
      </c>
      <c r="C25" s="85" t="s">
        <v>986</v>
      </c>
      <c r="D25" s="85"/>
      <c r="E25" s="87"/>
      <c r="F25" s="88"/>
      <c r="G25" s="88"/>
    </row>
    <row r="26" spans="1:7" x14ac:dyDescent="0.35">
      <c r="A26" s="66" t="s">
        <v>995</v>
      </c>
      <c r="B26" s="111" t="s">
        <v>498</v>
      </c>
      <c r="C26" s="181">
        <f>SUM(C27:C53)</f>
        <v>0</v>
      </c>
      <c r="D26" s="111"/>
      <c r="F26" s="111"/>
      <c r="G26" s="66"/>
    </row>
    <row r="27" spans="1:7" x14ac:dyDescent="0.35">
      <c r="A27" s="66" t="s">
        <v>996</v>
      </c>
      <c r="B27" s="66" t="s">
        <v>500</v>
      </c>
      <c r="C27" s="181" t="s">
        <v>82</v>
      </c>
      <c r="D27" s="111"/>
      <c r="F27" s="111"/>
      <c r="G27" s="66"/>
    </row>
    <row r="28" spans="1:7" x14ac:dyDescent="0.35">
      <c r="A28" s="66" t="s">
        <v>997</v>
      </c>
      <c r="B28" s="66" t="s">
        <v>502</v>
      </c>
      <c r="C28" s="181" t="s">
        <v>82</v>
      </c>
      <c r="D28" s="111"/>
      <c r="F28" s="111"/>
      <c r="G28" s="66"/>
    </row>
    <row r="29" spans="1:7" x14ac:dyDescent="0.35">
      <c r="A29" s="66" t="s">
        <v>998</v>
      </c>
      <c r="B29" s="66" t="s">
        <v>504</v>
      </c>
      <c r="C29" s="181" t="s">
        <v>82</v>
      </c>
      <c r="D29" s="111"/>
      <c r="F29" s="111"/>
      <c r="G29" s="66"/>
    </row>
    <row r="30" spans="1:7" x14ac:dyDescent="0.35">
      <c r="A30" s="66" t="s">
        <v>999</v>
      </c>
      <c r="B30" s="66" t="s">
        <v>506</v>
      </c>
      <c r="C30" s="181" t="s">
        <v>82</v>
      </c>
      <c r="D30" s="111"/>
      <c r="F30" s="111"/>
      <c r="G30" s="66"/>
    </row>
    <row r="31" spans="1:7" x14ac:dyDescent="0.35">
      <c r="A31" s="66" t="s">
        <v>1000</v>
      </c>
      <c r="B31" s="66" t="s">
        <v>508</v>
      </c>
      <c r="C31" s="181" t="s">
        <v>82</v>
      </c>
      <c r="D31" s="111"/>
      <c r="F31" s="111"/>
      <c r="G31" s="66"/>
    </row>
    <row r="32" spans="1:7" x14ac:dyDescent="0.35">
      <c r="A32" s="66" t="s">
        <v>1001</v>
      </c>
      <c r="B32" s="66" t="s">
        <v>2297</v>
      </c>
      <c r="C32" s="181" t="s">
        <v>82</v>
      </c>
      <c r="D32" s="111"/>
      <c r="F32" s="111"/>
      <c r="G32" s="66"/>
    </row>
    <row r="33" spans="1:7" x14ac:dyDescent="0.35">
      <c r="A33" s="66" t="s">
        <v>1002</v>
      </c>
      <c r="B33" s="66" t="s">
        <v>511</v>
      </c>
      <c r="C33" s="181" t="s">
        <v>82</v>
      </c>
      <c r="D33" s="111"/>
      <c r="F33" s="111"/>
      <c r="G33" s="66"/>
    </row>
    <row r="34" spans="1:7" x14ac:dyDescent="0.35">
      <c r="A34" s="66" t="s">
        <v>1003</v>
      </c>
      <c r="B34" s="66" t="s">
        <v>513</v>
      </c>
      <c r="C34" s="181" t="s">
        <v>82</v>
      </c>
      <c r="D34" s="111"/>
      <c r="F34" s="111"/>
      <c r="G34" s="66"/>
    </row>
    <row r="35" spans="1:7" x14ac:dyDescent="0.35">
      <c r="A35" s="66" t="s">
        <v>1004</v>
      </c>
      <c r="B35" s="66" t="s">
        <v>515</v>
      </c>
      <c r="C35" s="181" t="s">
        <v>82</v>
      </c>
      <c r="D35" s="111"/>
      <c r="F35" s="111"/>
      <c r="G35" s="66"/>
    </row>
    <row r="36" spans="1:7" x14ac:dyDescent="0.35">
      <c r="A36" s="66" t="s">
        <v>1005</v>
      </c>
      <c r="B36" s="66" t="s">
        <v>517</v>
      </c>
      <c r="C36" s="181" t="s">
        <v>82</v>
      </c>
      <c r="D36" s="111"/>
      <c r="F36" s="111"/>
      <c r="G36" s="66"/>
    </row>
    <row r="37" spans="1:7" x14ac:dyDescent="0.35">
      <c r="A37" s="66" t="s">
        <v>1006</v>
      </c>
      <c r="B37" s="66" t="s">
        <v>519</v>
      </c>
      <c r="C37" s="181" t="s">
        <v>82</v>
      </c>
      <c r="D37" s="111"/>
      <c r="F37" s="111"/>
      <c r="G37" s="66"/>
    </row>
    <row r="38" spans="1:7" x14ac:dyDescent="0.35">
      <c r="A38" s="66" t="s">
        <v>1007</v>
      </c>
      <c r="B38" s="66" t="s">
        <v>521</v>
      </c>
      <c r="C38" s="181" t="s">
        <v>82</v>
      </c>
      <c r="D38" s="111"/>
      <c r="F38" s="111"/>
      <c r="G38" s="66"/>
    </row>
    <row r="39" spans="1:7" x14ac:dyDescent="0.35">
      <c r="A39" s="66" t="s">
        <v>1008</v>
      </c>
      <c r="B39" s="66" t="s">
        <v>523</v>
      </c>
      <c r="C39" s="181" t="s">
        <v>82</v>
      </c>
      <c r="D39" s="111"/>
      <c r="F39" s="111"/>
      <c r="G39" s="66"/>
    </row>
    <row r="40" spans="1:7" x14ac:dyDescent="0.35">
      <c r="A40" s="66" t="s">
        <v>1009</v>
      </c>
      <c r="B40" s="66" t="s">
        <v>525</v>
      </c>
      <c r="C40" s="181" t="s">
        <v>82</v>
      </c>
      <c r="D40" s="111"/>
      <c r="F40" s="111"/>
      <c r="G40" s="66"/>
    </row>
    <row r="41" spans="1:7" x14ac:dyDescent="0.35">
      <c r="A41" s="66" t="s">
        <v>1010</v>
      </c>
      <c r="B41" s="66" t="s">
        <v>527</v>
      </c>
      <c r="C41" s="181" t="s">
        <v>82</v>
      </c>
      <c r="D41" s="111"/>
      <c r="F41" s="111"/>
      <c r="G41" s="66"/>
    </row>
    <row r="42" spans="1:7" x14ac:dyDescent="0.35">
      <c r="A42" s="66" t="s">
        <v>1011</v>
      </c>
      <c r="B42" s="66" t="s">
        <v>3</v>
      </c>
      <c r="C42" s="181" t="s">
        <v>82</v>
      </c>
      <c r="D42" s="111"/>
      <c r="F42" s="111"/>
      <c r="G42" s="66"/>
    </row>
    <row r="43" spans="1:7" x14ac:dyDescent="0.35">
      <c r="A43" s="66" t="s">
        <v>1012</v>
      </c>
      <c r="B43" s="66" t="s">
        <v>530</v>
      </c>
      <c r="C43" s="181" t="s">
        <v>82</v>
      </c>
      <c r="D43" s="111"/>
      <c r="F43" s="111"/>
      <c r="G43" s="66"/>
    </row>
    <row r="44" spans="1:7" x14ac:dyDescent="0.35">
      <c r="A44" s="66" t="s">
        <v>1013</v>
      </c>
      <c r="B44" s="66" t="s">
        <v>532</v>
      </c>
      <c r="C44" s="181" t="s">
        <v>82</v>
      </c>
      <c r="D44" s="111"/>
      <c r="F44" s="111"/>
      <c r="G44" s="66"/>
    </row>
    <row r="45" spans="1:7" x14ac:dyDescent="0.35">
      <c r="A45" s="66" t="s">
        <v>1014</v>
      </c>
      <c r="B45" s="66" t="s">
        <v>534</v>
      </c>
      <c r="C45" s="181" t="s">
        <v>82</v>
      </c>
      <c r="D45" s="111"/>
      <c r="F45" s="111"/>
      <c r="G45" s="66"/>
    </row>
    <row r="46" spans="1:7" x14ac:dyDescent="0.35">
      <c r="A46" s="66" t="s">
        <v>1015</v>
      </c>
      <c r="B46" s="66" t="s">
        <v>536</v>
      </c>
      <c r="C46" s="181" t="s">
        <v>82</v>
      </c>
      <c r="D46" s="111"/>
      <c r="F46" s="111"/>
      <c r="G46" s="66"/>
    </row>
    <row r="47" spans="1:7" x14ac:dyDescent="0.35">
      <c r="A47" s="66" t="s">
        <v>1016</v>
      </c>
      <c r="B47" s="66" t="s">
        <v>538</v>
      </c>
      <c r="C47" s="181" t="s">
        <v>82</v>
      </c>
      <c r="D47" s="111"/>
      <c r="F47" s="111"/>
      <c r="G47" s="66"/>
    </row>
    <row r="48" spans="1:7" x14ac:dyDescent="0.35">
      <c r="A48" s="66" t="s">
        <v>1017</v>
      </c>
      <c r="B48" s="66" t="s">
        <v>540</v>
      </c>
      <c r="C48" s="181" t="s">
        <v>82</v>
      </c>
      <c r="D48" s="111"/>
      <c r="F48" s="111"/>
      <c r="G48" s="66"/>
    </row>
    <row r="49" spans="1:7" x14ac:dyDescent="0.35">
      <c r="A49" s="66" t="s">
        <v>1018</v>
      </c>
      <c r="B49" s="66" t="s">
        <v>542</v>
      </c>
      <c r="C49" s="181" t="s">
        <v>82</v>
      </c>
      <c r="D49" s="111"/>
      <c r="F49" s="111"/>
      <c r="G49" s="66"/>
    </row>
    <row r="50" spans="1:7" x14ac:dyDescent="0.35">
      <c r="A50" s="66" t="s">
        <v>1019</v>
      </c>
      <c r="B50" s="66" t="s">
        <v>544</v>
      </c>
      <c r="C50" s="181" t="s">
        <v>82</v>
      </c>
      <c r="D50" s="111"/>
      <c r="F50" s="111"/>
      <c r="G50" s="66"/>
    </row>
    <row r="51" spans="1:7" x14ac:dyDescent="0.35">
      <c r="A51" s="66" t="s">
        <v>1020</v>
      </c>
      <c r="B51" s="66" t="s">
        <v>546</v>
      </c>
      <c r="C51" s="181" t="s">
        <v>82</v>
      </c>
      <c r="D51" s="111"/>
      <c r="F51" s="111"/>
      <c r="G51" s="66"/>
    </row>
    <row r="52" spans="1:7" x14ac:dyDescent="0.35">
      <c r="A52" s="66" t="s">
        <v>1021</v>
      </c>
      <c r="B52" s="66" t="s">
        <v>548</v>
      </c>
      <c r="C52" s="181" t="s">
        <v>82</v>
      </c>
      <c r="D52" s="111"/>
      <c r="F52" s="111"/>
      <c r="G52" s="66"/>
    </row>
    <row r="53" spans="1:7" x14ac:dyDescent="0.35">
      <c r="A53" s="66" t="s">
        <v>1022</v>
      </c>
      <c r="B53" s="66" t="s">
        <v>6</v>
      </c>
      <c r="C53" s="181" t="s">
        <v>82</v>
      </c>
      <c r="D53" s="111"/>
      <c r="F53" s="111"/>
      <c r="G53" s="66"/>
    </row>
    <row r="54" spans="1:7" x14ac:dyDescent="0.35">
      <c r="A54" s="275" t="s">
        <v>1023</v>
      </c>
      <c r="B54" s="111" t="s">
        <v>313</v>
      </c>
      <c r="C54" s="183">
        <f>SUM(C55:C57)</f>
        <v>0</v>
      </c>
      <c r="D54" s="111"/>
      <c r="F54" s="111"/>
      <c r="G54" s="66"/>
    </row>
    <row r="55" spans="1:7" x14ac:dyDescent="0.35">
      <c r="A55" s="275" t="s">
        <v>1024</v>
      </c>
      <c r="B55" s="66" t="s">
        <v>554</v>
      </c>
      <c r="C55" s="181" t="s">
        <v>82</v>
      </c>
      <c r="D55" s="111"/>
      <c r="F55" s="111"/>
      <c r="G55" s="66"/>
    </row>
    <row r="56" spans="1:7" x14ac:dyDescent="0.35">
      <c r="A56" s="275" t="s">
        <v>1025</v>
      </c>
      <c r="B56" s="66" t="s">
        <v>556</v>
      </c>
      <c r="C56" s="181" t="s">
        <v>82</v>
      </c>
      <c r="D56" s="111"/>
      <c r="F56" s="111"/>
      <c r="G56" s="66"/>
    </row>
    <row r="57" spans="1:7" x14ac:dyDescent="0.35">
      <c r="A57" s="275" t="s">
        <v>1026</v>
      </c>
      <c r="B57" s="66" t="s">
        <v>2</v>
      </c>
      <c r="C57" s="181" t="s">
        <v>82</v>
      </c>
      <c r="D57" s="111"/>
      <c r="F57" s="111"/>
      <c r="G57" s="66"/>
    </row>
    <row r="58" spans="1:7" x14ac:dyDescent="0.35">
      <c r="A58" s="275" t="s">
        <v>1027</v>
      </c>
      <c r="B58" s="111" t="s">
        <v>143</v>
      </c>
      <c r="C58" s="183">
        <f>SUM(C59:C69)</f>
        <v>0</v>
      </c>
      <c r="D58" s="111"/>
      <c r="F58" s="111"/>
      <c r="G58" s="66"/>
    </row>
    <row r="59" spans="1:7" x14ac:dyDescent="0.35">
      <c r="A59" s="275" t="s">
        <v>1028</v>
      </c>
      <c r="B59" s="83" t="s">
        <v>315</v>
      </c>
      <c r="C59" s="181" t="s">
        <v>82</v>
      </c>
      <c r="D59" s="111"/>
      <c r="F59" s="111"/>
      <c r="G59" s="66"/>
    </row>
    <row r="60" spans="1:7" x14ac:dyDescent="0.35">
      <c r="A60" s="275" t="s">
        <v>1029</v>
      </c>
      <c r="B60" s="275" t="s">
        <v>551</v>
      </c>
      <c r="C60" s="181" t="s">
        <v>82</v>
      </c>
      <c r="D60" s="111"/>
      <c r="E60" s="275"/>
      <c r="F60" s="111"/>
      <c r="G60" s="275"/>
    </row>
    <row r="61" spans="1:7" x14ac:dyDescent="0.35">
      <c r="A61" s="275" t="s">
        <v>1030</v>
      </c>
      <c r="B61" s="83" t="s">
        <v>317</v>
      </c>
      <c r="C61" s="181" t="s">
        <v>82</v>
      </c>
      <c r="D61" s="111"/>
      <c r="F61" s="111"/>
      <c r="G61" s="66"/>
    </row>
    <row r="62" spans="1:7" x14ac:dyDescent="0.35">
      <c r="A62" s="275" t="s">
        <v>1031</v>
      </c>
      <c r="B62" s="83" t="s">
        <v>319</v>
      </c>
      <c r="C62" s="181" t="s">
        <v>82</v>
      </c>
      <c r="D62" s="111"/>
      <c r="F62" s="111"/>
      <c r="G62" s="66"/>
    </row>
    <row r="63" spans="1:7" x14ac:dyDescent="0.35">
      <c r="A63" s="275" t="s">
        <v>1032</v>
      </c>
      <c r="B63" s="83" t="s">
        <v>12</v>
      </c>
      <c r="C63" s="181" t="s">
        <v>82</v>
      </c>
      <c r="D63" s="111"/>
      <c r="F63" s="111"/>
      <c r="G63" s="66"/>
    </row>
    <row r="64" spans="1:7" x14ac:dyDescent="0.35">
      <c r="A64" s="275" t="s">
        <v>1033</v>
      </c>
      <c r="B64" s="83" t="s">
        <v>322</v>
      </c>
      <c r="C64" s="181" t="s">
        <v>82</v>
      </c>
      <c r="D64" s="111"/>
      <c r="F64" s="111"/>
      <c r="G64" s="66"/>
    </row>
    <row r="65" spans="1:7" x14ac:dyDescent="0.35">
      <c r="A65" s="275" t="s">
        <v>1034</v>
      </c>
      <c r="B65" s="83" t="s">
        <v>324</v>
      </c>
      <c r="C65" s="181" t="s">
        <v>82</v>
      </c>
      <c r="D65" s="111"/>
      <c r="F65" s="111"/>
      <c r="G65" s="66"/>
    </row>
    <row r="66" spans="1:7" x14ac:dyDescent="0.35">
      <c r="A66" s="275" t="s">
        <v>1035</v>
      </c>
      <c r="B66" s="83" t="s">
        <v>326</v>
      </c>
      <c r="C66" s="181" t="s">
        <v>82</v>
      </c>
      <c r="D66" s="111"/>
      <c r="F66" s="111"/>
      <c r="G66" s="66"/>
    </row>
    <row r="67" spans="1:7" x14ac:dyDescent="0.35">
      <c r="A67" s="275" t="s">
        <v>1036</v>
      </c>
      <c r="B67" s="83" t="s">
        <v>328</v>
      </c>
      <c r="C67" s="181" t="s">
        <v>82</v>
      </c>
      <c r="D67" s="111"/>
      <c r="F67" s="111"/>
      <c r="G67" s="66"/>
    </row>
    <row r="68" spans="1:7" x14ac:dyDescent="0.35">
      <c r="A68" s="275" t="s">
        <v>1037</v>
      </c>
      <c r="B68" s="83" t="s">
        <v>330</v>
      </c>
      <c r="C68" s="181" t="s">
        <v>82</v>
      </c>
      <c r="D68" s="111"/>
      <c r="F68" s="111"/>
      <c r="G68" s="66"/>
    </row>
    <row r="69" spans="1:7" x14ac:dyDescent="0.35">
      <c r="A69" s="275" t="s">
        <v>1038</v>
      </c>
      <c r="B69" s="83" t="s">
        <v>143</v>
      </c>
      <c r="C69" s="181" t="s">
        <v>82</v>
      </c>
      <c r="D69" s="111"/>
      <c r="F69" s="111"/>
      <c r="G69" s="66"/>
    </row>
    <row r="70" spans="1:7" outlineLevel="1" x14ac:dyDescent="0.35">
      <c r="A70" s="66" t="s">
        <v>1039</v>
      </c>
      <c r="B70" s="95" t="s">
        <v>147</v>
      </c>
      <c r="C70" s="181"/>
      <c r="G70" s="66"/>
    </row>
    <row r="71" spans="1:7" outlineLevel="1" x14ac:dyDescent="0.35">
      <c r="A71" s="66" t="s">
        <v>1040</v>
      </c>
      <c r="B71" s="95" t="s">
        <v>147</v>
      </c>
      <c r="C71" s="181"/>
      <c r="G71" s="66"/>
    </row>
    <row r="72" spans="1:7" outlineLevel="1" x14ac:dyDescent="0.35">
      <c r="A72" s="66" t="s">
        <v>1041</v>
      </c>
      <c r="B72" s="95" t="s">
        <v>147</v>
      </c>
      <c r="C72" s="181"/>
      <c r="G72" s="66"/>
    </row>
    <row r="73" spans="1:7" outlineLevel="1" x14ac:dyDescent="0.35">
      <c r="A73" s="66" t="s">
        <v>1042</v>
      </c>
      <c r="B73" s="95" t="s">
        <v>147</v>
      </c>
      <c r="C73" s="181"/>
      <c r="G73" s="66"/>
    </row>
    <row r="74" spans="1:7" outlineLevel="1" x14ac:dyDescent="0.35">
      <c r="A74" s="66" t="s">
        <v>1043</v>
      </c>
      <c r="B74" s="95" t="s">
        <v>147</v>
      </c>
      <c r="C74" s="181"/>
      <c r="G74" s="66"/>
    </row>
    <row r="75" spans="1:7" outlineLevel="1" x14ac:dyDescent="0.35">
      <c r="A75" s="66" t="s">
        <v>1044</v>
      </c>
      <c r="B75" s="95" t="s">
        <v>147</v>
      </c>
      <c r="C75" s="181"/>
      <c r="G75" s="66"/>
    </row>
    <row r="76" spans="1:7" outlineLevel="1" x14ac:dyDescent="0.35">
      <c r="A76" s="66" t="s">
        <v>1045</v>
      </c>
      <c r="B76" s="95" t="s">
        <v>147</v>
      </c>
      <c r="C76" s="181"/>
      <c r="G76" s="66"/>
    </row>
    <row r="77" spans="1:7" outlineLevel="1" x14ac:dyDescent="0.35">
      <c r="A77" s="66" t="s">
        <v>1046</v>
      </c>
      <c r="B77" s="95" t="s">
        <v>147</v>
      </c>
      <c r="C77" s="181"/>
      <c r="G77" s="66"/>
    </row>
    <row r="78" spans="1:7" outlineLevel="1" x14ac:dyDescent="0.35">
      <c r="A78" s="66" t="s">
        <v>1047</v>
      </c>
      <c r="B78" s="95" t="s">
        <v>147</v>
      </c>
      <c r="C78" s="181"/>
      <c r="G78" s="66"/>
    </row>
    <row r="79" spans="1:7" outlineLevel="1" x14ac:dyDescent="0.35">
      <c r="A79" s="66" t="s">
        <v>1048</v>
      </c>
      <c r="B79" s="95" t="s">
        <v>147</v>
      </c>
      <c r="C79" s="181"/>
      <c r="G79" s="66"/>
    </row>
    <row r="80" spans="1:7" ht="15" customHeight="1" x14ac:dyDescent="0.35">
      <c r="A80" s="85"/>
      <c r="B80" s="86" t="s">
        <v>1049</v>
      </c>
      <c r="C80" s="85" t="s">
        <v>986</v>
      </c>
      <c r="D80" s="85"/>
      <c r="E80" s="87"/>
      <c r="F80" s="88"/>
      <c r="G80" s="88"/>
    </row>
    <row r="81" spans="1:7" x14ac:dyDescent="0.35">
      <c r="A81" s="66" t="s">
        <v>1050</v>
      </c>
      <c r="B81" s="66" t="s">
        <v>612</v>
      </c>
      <c r="C81" s="181" t="s">
        <v>82</v>
      </c>
      <c r="E81" s="64"/>
    </row>
    <row r="82" spans="1:7" x14ac:dyDescent="0.35">
      <c r="A82" s="66" t="s">
        <v>1051</v>
      </c>
      <c r="B82" s="66" t="s">
        <v>614</v>
      </c>
      <c r="C82" s="181" t="s">
        <v>82</v>
      </c>
      <c r="E82" s="64"/>
    </row>
    <row r="83" spans="1:7" x14ac:dyDescent="0.35">
      <c r="A83" s="66" t="s">
        <v>1052</v>
      </c>
      <c r="B83" s="66" t="s">
        <v>143</v>
      </c>
      <c r="C83" s="181" t="s">
        <v>82</v>
      </c>
      <c r="E83" s="64"/>
    </row>
    <row r="84" spans="1:7" outlineLevel="1" x14ac:dyDescent="0.35">
      <c r="A84" s="66" t="s">
        <v>1053</v>
      </c>
      <c r="C84" s="181"/>
      <c r="E84" s="64"/>
    </row>
    <row r="85" spans="1:7" outlineLevel="1" x14ac:dyDescent="0.35">
      <c r="A85" s="66" t="s">
        <v>1054</v>
      </c>
      <c r="C85" s="181"/>
      <c r="E85" s="64"/>
    </row>
    <row r="86" spans="1:7" outlineLevel="1" x14ac:dyDescent="0.35">
      <c r="A86" s="66" t="s">
        <v>1055</v>
      </c>
      <c r="C86" s="181"/>
      <c r="E86" s="64"/>
    </row>
    <row r="87" spans="1:7" outlineLevel="1" x14ac:dyDescent="0.35">
      <c r="A87" s="66" t="s">
        <v>1056</v>
      </c>
      <c r="C87" s="181"/>
      <c r="E87" s="64"/>
    </row>
    <row r="88" spans="1:7" outlineLevel="1" x14ac:dyDescent="0.35">
      <c r="A88" s="66" t="s">
        <v>1057</v>
      </c>
      <c r="C88" s="181"/>
      <c r="E88" s="64"/>
    </row>
    <row r="89" spans="1:7" outlineLevel="1" x14ac:dyDescent="0.35">
      <c r="A89" s="66" t="s">
        <v>1058</v>
      </c>
      <c r="C89" s="181"/>
      <c r="E89" s="64"/>
    </row>
    <row r="90" spans="1:7" ht="15" customHeight="1" x14ac:dyDescent="0.35">
      <c r="A90" s="85"/>
      <c r="B90" s="86" t="s">
        <v>1059</v>
      </c>
      <c r="C90" s="85" t="s">
        <v>986</v>
      </c>
      <c r="D90" s="85"/>
      <c r="E90" s="87"/>
      <c r="F90" s="88"/>
      <c r="G90" s="88"/>
    </row>
    <row r="91" spans="1:7" x14ac:dyDescent="0.35">
      <c r="A91" s="66" t="s">
        <v>1060</v>
      </c>
      <c r="B91" s="66" t="s">
        <v>624</v>
      </c>
      <c r="C91" s="181" t="s">
        <v>82</v>
      </c>
      <c r="E91" s="64"/>
    </row>
    <row r="92" spans="1:7" x14ac:dyDescent="0.35">
      <c r="A92" s="66" t="s">
        <v>1061</v>
      </c>
      <c r="B92" s="66" t="s">
        <v>626</v>
      </c>
      <c r="C92" s="181" t="s">
        <v>82</v>
      </c>
      <c r="E92" s="64"/>
    </row>
    <row r="93" spans="1:7" x14ac:dyDescent="0.35">
      <c r="A93" s="66" t="s">
        <v>1062</v>
      </c>
      <c r="B93" s="66" t="s">
        <v>143</v>
      </c>
      <c r="C93" s="181" t="s">
        <v>82</v>
      </c>
      <c r="E93" s="64"/>
    </row>
    <row r="94" spans="1:7" outlineLevel="1" x14ac:dyDescent="0.35">
      <c r="A94" s="66" t="s">
        <v>1063</v>
      </c>
      <c r="C94" s="181"/>
      <c r="E94" s="64"/>
    </row>
    <row r="95" spans="1:7" outlineLevel="1" x14ac:dyDescent="0.35">
      <c r="A95" s="66" t="s">
        <v>1064</v>
      </c>
      <c r="C95" s="181"/>
      <c r="E95" s="64"/>
    </row>
    <row r="96" spans="1:7" outlineLevel="1" x14ac:dyDescent="0.35">
      <c r="A96" s="66" t="s">
        <v>1065</v>
      </c>
      <c r="C96" s="181"/>
      <c r="E96" s="64"/>
    </row>
    <row r="97" spans="1:7" outlineLevel="1" x14ac:dyDescent="0.35">
      <c r="A97" s="66" t="s">
        <v>1066</v>
      </c>
      <c r="C97" s="181"/>
      <c r="E97" s="64"/>
    </row>
    <row r="98" spans="1:7" outlineLevel="1" x14ac:dyDescent="0.35">
      <c r="A98" s="66" t="s">
        <v>1067</v>
      </c>
      <c r="C98" s="181"/>
      <c r="E98" s="64"/>
    </row>
    <row r="99" spans="1:7" outlineLevel="1" x14ac:dyDescent="0.35">
      <c r="A99" s="66" t="s">
        <v>1068</v>
      </c>
      <c r="C99" s="181"/>
      <c r="E99" s="64"/>
    </row>
    <row r="100" spans="1:7" ht="15" customHeight="1" x14ac:dyDescent="0.35">
      <c r="A100" s="85"/>
      <c r="B100" s="86" t="s">
        <v>1069</v>
      </c>
      <c r="C100" s="85" t="s">
        <v>986</v>
      </c>
      <c r="D100" s="85"/>
      <c r="E100" s="87"/>
      <c r="F100" s="88"/>
      <c r="G100" s="88"/>
    </row>
    <row r="101" spans="1:7" x14ac:dyDescent="0.35">
      <c r="A101" s="66" t="s">
        <v>1070</v>
      </c>
      <c r="B101" s="62" t="s">
        <v>636</v>
      </c>
      <c r="C101" s="181" t="s">
        <v>82</v>
      </c>
      <c r="E101" s="64"/>
    </row>
    <row r="102" spans="1:7" x14ac:dyDescent="0.35">
      <c r="A102" s="66" t="s">
        <v>1071</v>
      </c>
      <c r="B102" s="62" t="s">
        <v>638</v>
      </c>
      <c r="C102" s="181" t="s">
        <v>82</v>
      </c>
      <c r="E102" s="64"/>
    </row>
    <row r="103" spans="1:7" x14ac:dyDescent="0.35">
      <c r="A103" s="66" t="s">
        <v>1072</v>
      </c>
      <c r="B103" s="62" t="s">
        <v>640</v>
      </c>
      <c r="C103" s="181" t="s">
        <v>82</v>
      </c>
    </row>
    <row r="104" spans="1:7" x14ac:dyDescent="0.35">
      <c r="A104" s="66" t="s">
        <v>1073</v>
      </c>
      <c r="B104" s="62" t="s">
        <v>642</v>
      </c>
      <c r="C104" s="181" t="s">
        <v>82</v>
      </c>
    </row>
    <row r="105" spans="1:7" x14ac:dyDescent="0.35">
      <c r="A105" s="66" t="s">
        <v>1074</v>
      </c>
      <c r="B105" s="62" t="s">
        <v>644</v>
      </c>
      <c r="C105" s="181" t="s">
        <v>82</v>
      </c>
    </row>
    <row r="106" spans="1:7" outlineLevel="1" x14ac:dyDescent="0.35">
      <c r="A106" s="66" t="s">
        <v>1075</v>
      </c>
      <c r="B106" s="62"/>
      <c r="C106" s="181"/>
    </row>
    <row r="107" spans="1:7" outlineLevel="1" x14ac:dyDescent="0.35">
      <c r="A107" s="66" t="s">
        <v>1076</v>
      </c>
      <c r="B107" s="62"/>
      <c r="C107" s="181"/>
    </row>
    <row r="108" spans="1:7" outlineLevel="1" x14ac:dyDescent="0.35">
      <c r="A108" s="66" t="s">
        <v>1077</v>
      </c>
      <c r="B108" s="62"/>
      <c r="C108" s="181"/>
    </row>
    <row r="109" spans="1:7" outlineLevel="1" x14ac:dyDescent="0.35">
      <c r="A109" s="66" t="s">
        <v>1078</v>
      </c>
      <c r="B109" s="62"/>
      <c r="C109" s="181"/>
    </row>
    <row r="110" spans="1:7" ht="15" customHeight="1" x14ac:dyDescent="0.35">
      <c r="A110" s="85"/>
      <c r="B110" s="85" t="s">
        <v>1079</v>
      </c>
      <c r="C110" s="85" t="s">
        <v>986</v>
      </c>
      <c r="D110" s="85"/>
      <c r="E110" s="87"/>
      <c r="F110" s="88"/>
      <c r="G110" s="88"/>
    </row>
    <row r="111" spans="1:7" x14ac:dyDescent="0.35">
      <c r="A111" s="66" t="s">
        <v>1080</v>
      </c>
      <c r="B111" s="362" t="s">
        <v>651</v>
      </c>
      <c r="C111" s="181" t="s">
        <v>82</v>
      </c>
      <c r="E111" s="64"/>
    </row>
    <row r="112" spans="1:7" outlineLevel="1" x14ac:dyDescent="0.35">
      <c r="A112" s="66" t="s">
        <v>1081</v>
      </c>
      <c r="B112" s="231" t="s">
        <v>2670</v>
      </c>
      <c r="C112" s="364" t="s">
        <v>82</v>
      </c>
      <c r="E112" s="64"/>
    </row>
    <row r="113" spans="1:7" outlineLevel="1" x14ac:dyDescent="0.35">
      <c r="A113" s="66" t="s">
        <v>1082</v>
      </c>
      <c r="B113" s="362"/>
      <c r="C113" s="181"/>
      <c r="E113" s="64"/>
    </row>
    <row r="114" spans="1:7" outlineLevel="1" x14ac:dyDescent="0.35">
      <c r="A114" s="66" t="s">
        <v>1083</v>
      </c>
      <c r="C114" s="181"/>
      <c r="E114" s="64"/>
    </row>
    <row r="115" spans="1:7" outlineLevel="1" x14ac:dyDescent="0.35">
      <c r="A115" s="66" t="s">
        <v>1084</v>
      </c>
      <c r="C115" s="181"/>
      <c r="E115" s="64"/>
    </row>
    <row r="116" spans="1:7" ht="15" customHeight="1" x14ac:dyDescent="0.35">
      <c r="A116" s="85"/>
      <c r="B116" s="86" t="s">
        <v>1085</v>
      </c>
      <c r="C116" s="85" t="s">
        <v>656</v>
      </c>
      <c r="D116" s="85" t="s">
        <v>657</v>
      </c>
      <c r="E116" s="87"/>
      <c r="F116" s="85" t="s">
        <v>986</v>
      </c>
      <c r="G116" s="85" t="s">
        <v>658</v>
      </c>
    </row>
    <row r="117" spans="1:7" x14ac:dyDescent="0.35">
      <c r="A117" s="66" t="s">
        <v>1086</v>
      </c>
      <c r="B117" s="83" t="s">
        <v>660</v>
      </c>
      <c r="C117" s="187" t="s">
        <v>82</v>
      </c>
      <c r="D117" s="80"/>
      <c r="E117" s="80"/>
      <c r="F117" s="99"/>
      <c r="G117" s="99"/>
    </row>
    <row r="118" spans="1:7" x14ac:dyDescent="0.35">
      <c r="A118" s="80"/>
      <c r="B118" s="112"/>
      <c r="C118" s="80"/>
      <c r="D118" s="80"/>
      <c r="E118" s="80"/>
      <c r="F118" s="99"/>
      <c r="G118" s="99"/>
    </row>
    <row r="119" spans="1:7" x14ac:dyDescent="0.35">
      <c r="B119" s="83" t="s">
        <v>661</v>
      </c>
      <c r="C119" s="80"/>
      <c r="D119" s="80"/>
      <c r="E119" s="80"/>
      <c r="F119" s="99"/>
      <c r="G119" s="99"/>
    </row>
    <row r="120" spans="1:7" x14ac:dyDescent="0.35">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35">
      <c r="A121" s="66" t="s">
        <v>1088</v>
      </c>
      <c r="B121" s="83" t="s">
        <v>579</v>
      </c>
      <c r="C121" s="187" t="s">
        <v>82</v>
      </c>
      <c r="D121" s="188" t="s">
        <v>82</v>
      </c>
      <c r="E121" s="80"/>
      <c r="F121" s="199" t="str">
        <f t="shared" si="0"/>
        <v/>
      </c>
      <c r="G121" s="199" t="str">
        <f t="shared" si="1"/>
        <v/>
      </c>
    </row>
    <row r="122" spans="1:7" x14ac:dyDescent="0.35">
      <c r="A122" s="66" t="s">
        <v>1089</v>
      </c>
      <c r="B122" s="83" t="s">
        <v>579</v>
      </c>
      <c r="C122" s="187" t="s">
        <v>82</v>
      </c>
      <c r="D122" s="188" t="s">
        <v>82</v>
      </c>
      <c r="E122" s="80"/>
      <c r="F122" s="199" t="str">
        <f t="shared" si="0"/>
        <v/>
      </c>
      <c r="G122" s="199" t="str">
        <f t="shared" si="1"/>
        <v/>
      </c>
    </row>
    <row r="123" spans="1:7" x14ac:dyDescent="0.35">
      <c r="A123" s="66" t="s">
        <v>1090</v>
      </c>
      <c r="B123" s="83" t="s">
        <v>579</v>
      </c>
      <c r="C123" s="187" t="s">
        <v>82</v>
      </c>
      <c r="D123" s="188" t="s">
        <v>82</v>
      </c>
      <c r="E123" s="80"/>
      <c r="F123" s="199" t="str">
        <f t="shared" si="0"/>
        <v/>
      </c>
      <c r="G123" s="199" t="str">
        <f t="shared" si="1"/>
        <v/>
      </c>
    </row>
    <row r="124" spans="1:7" x14ac:dyDescent="0.35">
      <c r="A124" s="66" t="s">
        <v>1091</v>
      </c>
      <c r="B124" s="83" t="s">
        <v>579</v>
      </c>
      <c r="C124" s="187" t="s">
        <v>82</v>
      </c>
      <c r="D124" s="188" t="s">
        <v>82</v>
      </c>
      <c r="E124" s="80"/>
      <c r="F124" s="199" t="str">
        <f t="shared" si="0"/>
        <v/>
      </c>
      <c r="G124" s="199" t="str">
        <f t="shared" si="1"/>
        <v/>
      </c>
    </row>
    <row r="125" spans="1:7" x14ac:dyDescent="0.35">
      <c r="A125" s="66" t="s">
        <v>1092</v>
      </c>
      <c r="B125" s="83" t="s">
        <v>579</v>
      </c>
      <c r="C125" s="187" t="s">
        <v>82</v>
      </c>
      <c r="D125" s="188" t="s">
        <v>82</v>
      </c>
      <c r="E125" s="80"/>
      <c r="F125" s="199" t="str">
        <f t="shared" si="0"/>
        <v/>
      </c>
      <c r="G125" s="199" t="str">
        <f t="shared" si="1"/>
        <v/>
      </c>
    </row>
    <row r="126" spans="1:7" x14ac:dyDescent="0.35">
      <c r="A126" s="66" t="s">
        <v>1093</v>
      </c>
      <c r="B126" s="83" t="s">
        <v>579</v>
      </c>
      <c r="C126" s="187" t="s">
        <v>82</v>
      </c>
      <c r="D126" s="188" t="s">
        <v>82</v>
      </c>
      <c r="E126" s="80"/>
      <c r="F126" s="199" t="str">
        <f t="shared" si="0"/>
        <v/>
      </c>
      <c r="G126" s="199" t="str">
        <f t="shared" si="1"/>
        <v/>
      </c>
    </row>
    <row r="127" spans="1:7" x14ac:dyDescent="0.35">
      <c r="A127" s="66" t="s">
        <v>1094</v>
      </c>
      <c r="B127" s="83" t="s">
        <v>579</v>
      </c>
      <c r="C127" s="187" t="s">
        <v>82</v>
      </c>
      <c r="D127" s="188" t="s">
        <v>82</v>
      </c>
      <c r="E127" s="80"/>
      <c r="F127" s="199" t="str">
        <f t="shared" si="0"/>
        <v/>
      </c>
      <c r="G127" s="199" t="str">
        <f t="shared" si="1"/>
        <v/>
      </c>
    </row>
    <row r="128" spans="1:7" x14ac:dyDescent="0.35">
      <c r="A128" s="66" t="s">
        <v>1095</v>
      </c>
      <c r="B128" s="83" t="s">
        <v>579</v>
      </c>
      <c r="C128" s="187" t="s">
        <v>82</v>
      </c>
      <c r="D128" s="188" t="s">
        <v>82</v>
      </c>
      <c r="E128" s="80"/>
      <c r="F128" s="199" t="str">
        <f t="shared" si="0"/>
        <v/>
      </c>
      <c r="G128" s="199" t="str">
        <f t="shared" si="1"/>
        <v/>
      </c>
    </row>
    <row r="129" spans="1:7" x14ac:dyDescent="0.35">
      <c r="A129" s="66" t="s">
        <v>1096</v>
      </c>
      <c r="B129" s="83" t="s">
        <v>579</v>
      </c>
      <c r="C129" s="187" t="s">
        <v>82</v>
      </c>
      <c r="D129" s="188" t="s">
        <v>82</v>
      </c>
      <c r="E129" s="83"/>
      <c r="F129" s="199" t="str">
        <f t="shared" si="0"/>
        <v/>
      </c>
      <c r="G129" s="199" t="str">
        <f t="shared" si="1"/>
        <v/>
      </c>
    </row>
    <row r="130" spans="1:7" x14ac:dyDescent="0.35">
      <c r="A130" s="66" t="s">
        <v>1097</v>
      </c>
      <c r="B130" s="83" t="s">
        <v>579</v>
      </c>
      <c r="C130" s="187" t="s">
        <v>82</v>
      </c>
      <c r="D130" s="188" t="s">
        <v>82</v>
      </c>
      <c r="E130" s="83"/>
      <c r="F130" s="199" t="str">
        <f t="shared" si="0"/>
        <v/>
      </c>
      <c r="G130" s="199" t="str">
        <f t="shared" si="1"/>
        <v/>
      </c>
    </row>
    <row r="131" spans="1:7" x14ac:dyDescent="0.35">
      <c r="A131" s="66" t="s">
        <v>1098</v>
      </c>
      <c r="B131" s="83" t="s">
        <v>579</v>
      </c>
      <c r="C131" s="187" t="s">
        <v>82</v>
      </c>
      <c r="D131" s="188" t="s">
        <v>82</v>
      </c>
      <c r="E131" s="83"/>
      <c r="F131" s="199" t="str">
        <f t="shared" si="0"/>
        <v/>
      </c>
      <c r="G131" s="199" t="str">
        <f t="shared" si="1"/>
        <v/>
      </c>
    </row>
    <row r="132" spans="1:7" x14ac:dyDescent="0.35">
      <c r="A132" s="66" t="s">
        <v>1099</v>
      </c>
      <c r="B132" s="83" t="s">
        <v>579</v>
      </c>
      <c r="C132" s="187" t="s">
        <v>82</v>
      </c>
      <c r="D132" s="188" t="s">
        <v>82</v>
      </c>
      <c r="E132" s="83"/>
      <c r="F132" s="199" t="str">
        <f t="shared" si="0"/>
        <v/>
      </c>
      <c r="G132" s="199" t="str">
        <f t="shared" si="1"/>
        <v/>
      </c>
    </row>
    <row r="133" spans="1:7" x14ac:dyDescent="0.35">
      <c r="A133" s="66" t="s">
        <v>1100</v>
      </c>
      <c r="B133" s="83" t="s">
        <v>579</v>
      </c>
      <c r="C133" s="187" t="s">
        <v>82</v>
      </c>
      <c r="D133" s="188" t="s">
        <v>82</v>
      </c>
      <c r="E133" s="83"/>
      <c r="F133" s="199" t="str">
        <f t="shared" si="0"/>
        <v/>
      </c>
      <c r="G133" s="199" t="str">
        <f t="shared" si="1"/>
        <v/>
      </c>
    </row>
    <row r="134" spans="1:7" x14ac:dyDescent="0.35">
      <c r="A134" s="66" t="s">
        <v>1101</v>
      </c>
      <c r="B134" s="83" t="s">
        <v>579</v>
      </c>
      <c r="C134" s="187" t="s">
        <v>82</v>
      </c>
      <c r="D134" s="188" t="s">
        <v>82</v>
      </c>
      <c r="E134" s="83"/>
      <c r="F134" s="199" t="str">
        <f t="shared" si="0"/>
        <v/>
      </c>
      <c r="G134" s="199" t="str">
        <f t="shared" si="1"/>
        <v/>
      </c>
    </row>
    <row r="135" spans="1:7" x14ac:dyDescent="0.35">
      <c r="A135" s="66" t="s">
        <v>1102</v>
      </c>
      <c r="B135" s="83" t="s">
        <v>579</v>
      </c>
      <c r="C135" s="187" t="s">
        <v>82</v>
      </c>
      <c r="D135" s="188" t="s">
        <v>82</v>
      </c>
      <c r="F135" s="199" t="str">
        <f t="shared" si="0"/>
        <v/>
      </c>
      <c r="G135" s="199" t="str">
        <f t="shared" si="1"/>
        <v/>
      </c>
    </row>
    <row r="136" spans="1:7" x14ac:dyDescent="0.35">
      <c r="A136" s="66" t="s">
        <v>1103</v>
      </c>
      <c r="B136" s="83" t="s">
        <v>579</v>
      </c>
      <c r="C136" s="187" t="s">
        <v>82</v>
      </c>
      <c r="D136" s="188" t="s">
        <v>82</v>
      </c>
      <c r="E136" s="103"/>
      <c r="F136" s="199" t="str">
        <f t="shared" si="0"/>
        <v/>
      </c>
      <c r="G136" s="199" t="str">
        <f t="shared" si="1"/>
        <v/>
      </c>
    </row>
    <row r="137" spans="1:7" x14ac:dyDescent="0.35">
      <c r="A137" s="66" t="s">
        <v>1104</v>
      </c>
      <c r="B137" s="83" t="s">
        <v>579</v>
      </c>
      <c r="C137" s="187" t="s">
        <v>82</v>
      </c>
      <c r="D137" s="188" t="s">
        <v>82</v>
      </c>
      <c r="E137" s="103"/>
      <c r="F137" s="199" t="str">
        <f t="shared" si="0"/>
        <v/>
      </c>
      <c r="G137" s="199" t="str">
        <f t="shared" si="1"/>
        <v/>
      </c>
    </row>
    <row r="138" spans="1:7" x14ac:dyDescent="0.35">
      <c r="A138" s="66" t="s">
        <v>1105</v>
      </c>
      <c r="B138" s="83" t="s">
        <v>579</v>
      </c>
      <c r="C138" s="187" t="s">
        <v>82</v>
      </c>
      <c r="D138" s="188" t="s">
        <v>82</v>
      </c>
      <c r="E138" s="103"/>
      <c r="F138" s="199" t="str">
        <f t="shared" si="0"/>
        <v/>
      </c>
      <c r="G138" s="199" t="str">
        <f t="shared" si="1"/>
        <v/>
      </c>
    </row>
    <row r="139" spans="1:7" x14ac:dyDescent="0.35">
      <c r="A139" s="66" t="s">
        <v>1106</v>
      </c>
      <c r="B139" s="83" t="s">
        <v>579</v>
      </c>
      <c r="C139" s="187" t="s">
        <v>82</v>
      </c>
      <c r="D139" s="188" t="s">
        <v>82</v>
      </c>
      <c r="E139" s="103"/>
      <c r="F139" s="199" t="str">
        <f t="shared" si="0"/>
        <v/>
      </c>
      <c r="G139" s="199" t="str">
        <f t="shared" si="1"/>
        <v/>
      </c>
    </row>
    <row r="140" spans="1:7" x14ac:dyDescent="0.35">
      <c r="A140" s="66" t="s">
        <v>1107</v>
      </c>
      <c r="B140" s="83" t="s">
        <v>579</v>
      </c>
      <c r="C140" s="187" t="s">
        <v>82</v>
      </c>
      <c r="D140" s="188" t="s">
        <v>82</v>
      </c>
      <c r="E140" s="103"/>
      <c r="F140" s="199" t="str">
        <f t="shared" si="0"/>
        <v/>
      </c>
      <c r="G140" s="199" t="str">
        <f t="shared" si="1"/>
        <v/>
      </c>
    </row>
    <row r="141" spans="1:7" x14ac:dyDescent="0.35">
      <c r="A141" s="66" t="s">
        <v>1108</v>
      </c>
      <c r="B141" s="83" t="s">
        <v>579</v>
      </c>
      <c r="C141" s="187" t="s">
        <v>82</v>
      </c>
      <c r="D141" s="188" t="s">
        <v>82</v>
      </c>
      <c r="E141" s="103"/>
      <c r="F141" s="199" t="str">
        <f t="shared" si="0"/>
        <v/>
      </c>
      <c r="G141" s="199" t="str">
        <f t="shared" si="1"/>
        <v/>
      </c>
    </row>
    <row r="142" spans="1:7" x14ac:dyDescent="0.35">
      <c r="A142" s="66" t="s">
        <v>1109</v>
      </c>
      <c r="B142" s="83" t="s">
        <v>579</v>
      </c>
      <c r="C142" s="187" t="s">
        <v>82</v>
      </c>
      <c r="D142" s="188" t="s">
        <v>82</v>
      </c>
      <c r="E142" s="103"/>
      <c r="F142" s="199" t="str">
        <f t="shared" si="0"/>
        <v/>
      </c>
      <c r="G142" s="199" t="str">
        <f t="shared" si="1"/>
        <v/>
      </c>
    </row>
    <row r="143" spans="1:7" x14ac:dyDescent="0.35">
      <c r="A143" s="66" t="s">
        <v>1110</v>
      </c>
      <c r="B143" s="83" t="s">
        <v>579</v>
      </c>
      <c r="C143" s="187" t="s">
        <v>82</v>
      </c>
      <c r="D143" s="188" t="s">
        <v>82</v>
      </c>
      <c r="E143" s="103"/>
      <c r="F143" s="199" t="str">
        <f t="shared" si="0"/>
        <v/>
      </c>
      <c r="G143" s="199" t="str">
        <f t="shared" si="1"/>
        <v/>
      </c>
    </row>
    <row r="144" spans="1:7" x14ac:dyDescent="0.35">
      <c r="A144" s="66" t="s">
        <v>1111</v>
      </c>
      <c r="B144" s="93" t="s">
        <v>145</v>
      </c>
      <c r="C144" s="189">
        <f>SUM(C120:C143)</f>
        <v>0</v>
      </c>
      <c r="D144" s="91">
        <f>SUM(D120:D143)</f>
        <v>0</v>
      </c>
      <c r="E144" s="103"/>
      <c r="F144" s="200">
        <f>SUM(F120:F143)</f>
        <v>0</v>
      </c>
      <c r="G144" s="200">
        <f>SUM(G120:G143)</f>
        <v>0</v>
      </c>
    </row>
    <row r="145" spans="1:7" ht="15" customHeight="1" x14ac:dyDescent="0.35">
      <c r="A145" s="85"/>
      <c r="B145" s="86" t="s">
        <v>1112</v>
      </c>
      <c r="C145" s="85" t="s">
        <v>656</v>
      </c>
      <c r="D145" s="85" t="s">
        <v>657</v>
      </c>
      <c r="E145" s="87"/>
      <c r="F145" s="85" t="s">
        <v>986</v>
      </c>
      <c r="G145" s="85" t="s">
        <v>658</v>
      </c>
    </row>
    <row r="146" spans="1:7" x14ac:dyDescent="0.35">
      <c r="A146" s="66" t="s">
        <v>1113</v>
      </c>
      <c r="B146" s="66" t="s">
        <v>689</v>
      </c>
      <c r="C146" s="181" t="s">
        <v>82</v>
      </c>
      <c r="G146" s="66"/>
    </row>
    <row r="147" spans="1:7" x14ac:dyDescent="0.35">
      <c r="G147" s="66"/>
    </row>
    <row r="148" spans="1:7" x14ac:dyDescent="0.35">
      <c r="B148" s="83" t="s">
        <v>690</v>
      </c>
      <c r="G148" s="66"/>
    </row>
    <row r="149" spans="1:7" x14ac:dyDescent="0.35">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35">
      <c r="A150" s="66" t="s">
        <v>1115</v>
      </c>
      <c r="B150" s="66" t="s">
        <v>694</v>
      </c>
      <c r="C150" s="187" t="s">
        <v>82</v>
      </c>
      <c r="D150" s="188" t="s">
        <v>82</v>
      </c>
      <c r="F150" s="199" t="str">
        <f t="shared" si="2"/>
        <v/>
      </c>
      <c r="G150" s="199" t="str">
        <f t="shared" si="3"/>
        <v/>
      </c>
    </row>
    <row r="151" spans="1:7" x14ac:dyDescent="0.35">
      <c r="A151" s="66" t="s">
        <v>1116</v>
      </c>
      <c r="B151" s="66" t="s">
        <v>696</v>
      </c>
      <c r="C151" s="187" t="s">
        <v>82</v>
      </c>
      <c r="D151" s="188" t="s">
        <v>82</v>
      </c>
      <c r="F151" s="199" t="str">
        <f t="shared" si="2"/>
        <v/>
      </c>
      <c r="G151" s="199" t="str">
        <f t="shared" si="3"/>
        <v/>
      </c>
    </row>
    <row r="152" spans="1:7" x14ac:dyDescent="0.35">
      <c r="A152" s="66" t="s">
        <v>1117</v>
      </c>
      <c r="B152" s="66" t="s">
        <v>698</v>
      </c>
      <c r="C152" s="187" t="s">
        <v>82</v>
      </c>
      <c r="D152" s="188" t="s">
        <v>82</v>
      </c>
      <c r="F152" s="199" t="str">
        <f t="shared" si="2"/>
        <v/>
      </c>
      <c r="G152" s="199" t="str">
        <f t="shared" si="3"/>
        <v/>
      </c>
    </row>
    <row r="153" spans="1:7" x14ac:dyDescent="0.35">
      <c r="A153" s="66" t="s">
        <v>1118</v>
      </c>
      <c r="B153" s="66" t="s">
        <v>700</v>
      </c>
      <c r="C153" s="187" t="s">
        <v>82</v>
      </c>
      <c r="D153" s="188" t="s">
        <v>82</v>
      </c>
      <c r="F153" s="199" t="str">
        <f t="shared" si="2"/>
        <v/>
      </c>
      <c r="G153" s="199" t="str">
        <f t="shared" si="3"/>
        <v/>
      </c>
    </row>
    <row r="154" spans="1:7" x14ac:dyDescent="0.35">
      <c r="A154" s="66" t="s">
        <v>1119</v>
      </c>
      <c r="B154" s="66" t="s">
        <v>702</v>
      </c>
      <c r="C154" s="187" t="s">
        <v>82</v>
      </c>
      <c r="D154" s="188" t="s">
        <v>82</v>
      </c>
      <c r="F154" s="199" t="str">
        <f t="shared" si="2"/>
        <v/>
      </c>
      <c r="G154" s="199" t="str">
        <f t="shared" si="3"/>
        <v/>
      </c>
    </row>
    <row r="155" spans="1:7" x14ac:dyDescent="0.35">
      <c r="A155" s="66" t="s">
        <v>1120</v>
      </c>
      <c r="B155" s="66" t="s">
        <v>704</v>
      </c>
      <c r="C155" s="187" t="s">
        <v>82</v>
      </c>
      <c r="D155" s="188" t="s">
        <v>82</v>
      </c>
      <c r="F155" s="199" t="str">
        <f t="shared" si="2"/>
        <v/>
      </c>
      <c r="G155" s="199" t="str">
        <f t="shared" si="3"/>
        <v/>
      </c>
    </row>
    <row r="156" spans="1:7" x14ac:dyDescent="0.35">
      <c r="A156" s="66" t="s">
        <v>1121</v>
      </c>
      <c r="B156" s="66" t="s">
        <v>706</v>
      </c>
      <c r="C156" s="187" t="s">
        <v>82</v>
      </c>
      <c r="D156" s="188" t="s">
        <v>82</v>
      </c>
      <c r="F156" s="199" t="str">
        <f t="shared" si="2"/>
        <v/>
      </c>
      <c r="G156" s="199" t="str">
        <f t="shared" si="3"/>
        <v/>
      </c>
    </row>
    <row r="157" spans="1:7" x14ac:dyDescent="0.35">
      <c r="A157" s="66" t="s">
        <v>1122</v>
      </c>
      <c r="B157" s="93" t="s">
        <v>145</v>
      </c>
      <c r="C157" s="187">
        <f>SUM(C149:C156)</f>
        <v>0</v>
      </c>
      <c r="D157" s="188">
        <f>SUM(D149:D156)</f>
        <v>0</v>
      </c>
      <c r="F157" s="181">
        <f>SUM(F149:F156)</f>
        <v>0</v>
      </c>
      <c r="G157" s="181">
        <f>SUM(G149:G156)</f>
        <v>0</v>
      </c>
    </row>
    <row r="158" spans="1:7" outlineLevel="1" x14ac:dyDescent="0.35">
      <c r="A158" s="66" t="s">
        <v>1123</v>
      </c>
      <c r="B158" s="95" t="s">
        <v>709</v>
      </c>
      <c r="C158" s="187"/>
      <c r="D158" s="188"/>
      <c r="F158" s="199" t="str">
        <f t="shared" si="2"/>
        <v/>
      </c>
      <c r="G158" s="199" t="str">
        <f t="shared" si="3"/>
        <v/>
      </c>
    </row>
    <row r="159" spans="1:7" outlineLevel="1" x14ac:dyDescent="0.35">
      <c r="A159" s="66" t="s">
        <v>1124</v>
      </c>
      <c r="B159" s="95" t="s">
        <v>711</v>
      </c>
      <c r="C159" s="187"/>
      <c r="D159" s="188"/>
      <c r="F159" s="199" t="str">
        <f t="shared" si="2"/>
        <v/>
      </c>
      <c r="G159" s="199" t="str">
        <f t="shared" si="3"/>
        <v/>
      </c>
    </row>
    <row r="160" spans="1:7" outlineLevel="1" x14ac:dyDescent="0.35">
      <c r="A160" s="66" t="s">
        <v>1125</v>
      </c>
      <c r="B160" s="95" t="s">
        <v>713</v>
      </c>
      <c r="C160" s="187"/>
      <c r="D160" s="188"/>
      <c r="F160" s="199" t="str">
        <f t="shared" si="2"/>
        <v/>
      </c>
      <c r="G160" s="199" t="str">
        <f t="shared" si="3"/>
        <v/>
      </c>
    </row>
    <row r="161" spans="1:7" outlineLevel="1" x14ac:dyDescent="0.35">
      <c r="A161" s="66" t="s">
        <v>1126</v>
      </c>
      <c r="B161" s="95" t="s">
        <v>715</v>
      </c>
      <c r="C161" s="187"/>
      <c r="D161" s="188"/>
      <c r="F161" s="199" t="str">
        <f t="shared" si="2"/>
        <v/>
      </c>
      <c r="G161" s="199" t="str">
        <f t="shared" si="3"/>
        <v/>
      </c>
    </row>
    <row r="162" spans="1:7" outlineLevel="1" x14ac:dyDescent="0.35">
      <c r="A162" s="66" t="s">
        <v>1127</v>
      </c>
      <c r="B162" s="95" t="s">
        <v>717</v>
      </c>
      <c r="C162" s="187"/>
      <c r="D162" s="188"/>
      <c r="F162" s="199" t="str">
        <f t="shared" si="2"/>
        <v/>
      </c>
      <c r="G162" s="199" t="str">
        <f t="shared" si="3"/>
        <v/>
      </c>
    </row>
    <row r="163" spans="1:7" outlineLevel="1" x14ac:dyDescent="0.35">
      <c r="A163" s="66" t="s">
        <v>1128</v>
      </c>
      <c r="B163" s="95" t="s">
        <v>719</v>
      </c>
      <c r="C163" s="187"/>
      <c r="D163" s="188"/>
      <c r="F163" s="199" t="str">
        <f t="shared" si="2"/>
        <v/>
      </c>
      <c r="G163" s="199" t="str">
        <f t="shared" si="3"/>
        <v/>
      </c>
    </row>
    <row r="164" spans="1:7" outlineLevel="1" x14ac:dyDescent="0.35">
      <c r="A164" s="66" t="s">
        <v>1129</v>
      </c>
      <c r="B164" s="95"/>
      <c r="F164" s="92"/>
      <c r="G164" s="92"/>
    </row>
    <row r="165" spans="1:7" outlineLevel="1" x14ac:dyDescent="0.35">
      <c r="A165" s="66" t="s">
        <v>1130</v>
      </c>
      <c r="B165" s="95"/>
      <c r="F165" s="92"/>
      <c r="G165" s="92"/>
    </row>
    <row r="166" spans="1:7" outlineLevel="1" x14ac:dyDescent="0.35">
      <c r="A166" s="66" t="s">
        <v>1131</v>
      </c>
      <c r="B166" s="95"/>
      <c r="F166" s="92"/>
      <c r="G166" s="92"/>
    </row>
    <row r="167" spans="1:7" ht="15" customHeight="1" x14ac:dyDescent="0.35">
      <c r="A167" s="85"/>
      <c r="B167" s="86" t="s">
        <v>1132</v>
      </c>
      <c r="C167" s="85" t="s">
        <v>656</v>
      </c>
      <c r="D167" s="85" t="s">
        <v>657</v>
      </c>
      <c r="E167" s="87"/>
      <c r="F167" s="85" t="s">
        <v>986</v>
      </c>
      <c r="G167" s="85" t="s">
        <v>658</v>
      </c>
    </row>
    <row r="168" spans="1:7" x14ac:dyDescent="0.35">
      <c r="A168" s="66" t="s">
        <v>1133</v>
      </c>
      <c r="B168" s="66" t="s">
        <v>689</v>
      </c>
      <c r="C168" s="181" t="s">
        <v>117</v>
      </c>
      <c r="G168" s="66"/>
    </row>
    <row r="169" spans="1:7" x14ac:dyDescent="0.35">
      <c r="G169" s="66"/>
    </row>
    <row r="170" spans="1:7" x14ac:dyDescent="0.35">
      <c r="B170" s="83" t="s">
        <v>690</v>
      </c>
      <c r="G170" s="66"/>
    </row>
    <row r="171" spans="1:7" x14ac:dyDescent="0.35">
      <c r="A171" s="66" t="s">
        <v>1134</v>
      </c>
      <c r="B171" s="66" t="s">
        <v>692</v>
      </c>
      <c r="C171" s="187" t="s">
        <v>117</v>
      </c>
      <c r="D171" s="188" t="s">
        <v>117</v>
      </c>
      <c r="F171" s="199" t="str">
        <f>IF($C$179=0,"",IF(C171="[Mark as ND1 if not relevant]","",C171/$C$179))</f>
        <v/>
      </c>
      <c r="G171" s="199" t="str">
        <f>IF($D$179=0,"",IF(D171="[Mark as ND1 if not relevant]","",D171/$D$179))</f>
        <v/>
      </c>
    </row>
    <row r="172" spans="1:7" x14ac:dyDescent="0.35">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35">
      <c r="A173" s="66" t="s">
        <v>1136</v>
      </c>
      <c r="B173" s="66" t="s">
        <v>696</v>
      </c>
      <c r="C173" s="187" t="s">
        <v>117</v>
      </c>
      <c r="D173" s="188" t="s">
        <v>117</v>
      </c>
      <c r="F173" s="199" t="str">
        <f t="shared" si="4"/>
        <v/>
      </c>
      <c r="G173" s="199" t="str">
        <f t="shared" si="5"/>
        <v/>
      </c>
    </row>
    <row r="174" spans="1:7" x14ac:dyDescent="0.35">
      <c r="A174" s="66" t="s">
        <v>1137</v>
      </c>
      <c r="B174" s="66" t="s">
        <v>698</v>
      </c>
      <c r="C174" s="187" t="s">
        <v>117</v>
      </c>
      <c r="D174" s="188" t="s">
        <v>117</v>
      </c>
      <c r="F174" s="199" t="str">
        <f t="shared" si="4"/>
        <v/>
      </c>
      <c r="G174" s="199" t="str">
        <f t="shared" si="5"/>
        <v/>
      </c>
    </row>
    <row r="175" spans="1:7" x14ac:dyDescent="0.35">
      <c r="A175" s="66" t="s">
        <v>1138</v>
      </c>
      <c r="B175" s="66" t="s">
        <v>700</v>
      </c>
      <c r="C175" s="187" t="s">
        <v>117</v>
      </c>
      <c r="D175" s="188" t="s">
        <v>117</v>
      </c>
      <c r="F175" s="199" t="str">
        <f t="shared" si="4"/>
        <v/>
      </c>
      <c r="G175" s="199" t="str">
        <f t="shared" si="5"/>
        <v/>
      </c>
    </row>
    <row r="176" spans="1:7" x14ac:dyDescent="0.35">
      <c r="A176" s="66" t="s">
        <v>1139</v>
      </c>
      <c r="B176" s="66" t="s">
        <v>702</v>
      </c>
      <c r="C176" s="187" t="s">
        <v>117</v>
      </c>
      <c r="D176" s="188" t="s">
        <v>117</v>
      </c>
      <c r="F176" s="199" t="str">
        <f t="shared" si="4"/>
        <v/>
      </c>
      <c r="G176" s="199" t="str">
        <f t="shared" si="5"/>
        <v/>
      </c>
    </row>
    <row r="177" spans="1:7" x14ac:dyDescent="0.35">
      <c r="A177" s="66" t="s">
        <v>1140</v>
      </c>
      <c r="B177" s="66" t="s">
        <v>704</v>
      </c>
      <c r="C177" s="187" t="s">
        <v>117</v>
      </c>
      <c r="D177" s="188" t="s">
        <v>117</v>
      </c>
      <c r="F177" s="199" t="str">
        <f t="shared" si="4"/>
        <v/>
      </c>
      <c r="G177" s="199" t="str">
        <f t="shared" si="5"/>
        <v/>
      </c>
    </row>
    <row r="178" spans="1:7" x14ac:dyDescent="0.35">
      <c r="A178" s="66" t="s">
        <v>1141</v>
      </c>
      <c r="B178" s="66" t="s">
        <v>706</v>
      </c>
      <c r="C178" s="187" t="s">
        <v>117</v>
      </c>
      <c r="D178" s="188" t="s">
        <v>117</v>
      </c>
      <c r="F178" s="199" t="str">
        <f t="shared" si="4"/>
        <v/>
      </c>
      <c r="G178" s="199" t="str">
        <f t="shared" si="5"/>
        <v/>
      </c>
    </row>
    <row r="179" spans="1:7" x14ac:dyDescent="0.35">
      <c r="A179" s="66" t="s">
        <v>1142</v>
      </c>
      <c r="B179" s="93" t="s">
        <v>145</v>
      </c>
      <c r="C179" s="187">
        <f>SUM(C171:C178)</f>
        <v>0</v>
      </c>
      <c r="D179" s="188">
        <f>SUM(D171:D178)</f>
        <v>0</v>
      </c>
      <c r="F179" s="181">
        <f>SUM(F171:F178)</f>
        <v>0</v>
      </c>
      <c r="G179" s="181">
        <f>SUM(G171:G178)</f>
        <v>0</v>
      </c>
    </row>
    <row r="180" spans="1:7" outlineLevel="1" x14ac:dyDescent="0.35">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35">
      <c r="A181" s="66" t="s">
        <v>1144</v>
      </c>
      <c r="B181" s="95" t="s">
        <v>711</v>
      </c>
      <c r="C181" s="187"/>
      <c r="D181" s="188"/>
      <c r="F181" s="199" t="str">
        <f t="shared" si="6"/>
        <v/>
      </c>
      <c r="G181" s="199" t="str">
        <f t="shared" si="7"/>
        <v/>
      </c>
    </row>
    <row r="182" spans="1:7" outlineLevel="1" x14ac:dyDescent="0.35">
      <c r="A182" s="66" t="s">
        <v>1145</v>
      </c>
      <c r="B182" s="95" t="s">
        <v>713</v>
      </c>
      <c r="C182" s="187"/>
      <c r="D182" s="188"/>
      <c r="F182" s="199" t="str">
        <f t="shared" si="6"/>
        <v/>
      </c>
      <c r="G182" s="199" t="str">
        <f t="shared" si="7"/>
        <v/>
      </c>
    </row>
    <row r="183" spans="1:7" outlineLevel="1" x14ac:dyDescent="0.35">
      <c r="A183" s="66" t="s">
        <v>1146</v>
      </c>
      <c r="B183" s="95" t="s">
        <v>715</v>
      </c>
      <c r="C183" s="187"/>
      <c r="D183" s="188"/>
      <c r="F183" s="199" t="str">
        <f t="shared" si="6"/>
        <v/>
      </c>
      <c r="G183" s="199" t="str">
        <f t="shared" si="7"/>
        <v/>
      </c>
    </row>
    <row r="184" spans="1:7" outlineLevel="1" x14ac:dyDescent="0.35">
      <c r="A184" s="66" t="s">
        <v>1147</v>
      </c>
      <c r="B184" s="95" t="s">
        <v>717</v>
      </c>
      <c r="C184" s="187"/>
      <c r="D184" s="188"/>
      <c r="F184" s="199" t="str">
        <f t="shared" si="6"/>
        <v/>
      </c>
      <c r="G184" s="199" t="str">
        <f t="shared" si="7"/>
        <v/>
      </c>
    </row>
    <row r="185" spans="1:7" outlineLevel="1" x14ac:dyDescent="0.35">
      <c r="A185" s="66" t="s">
        <v>1148</v>
      </c>
      <c r="B185" s="95" t="s">
        <v>719</v>
      </c>
      <c r="C185" s="187"/>
      <c r="D185" s="188"/>
      <c r="F185" s="199" t="str">
        <f t="shared" si="6"/>
        <v/>
      </c>
      <c r="G185" s="199" t="str">
        <f t="shared" si="7"/>
        <v/>
      </c>
    </row>
    <row r="186" spans="1:7" outlineLevel="1" x14ac:dyDescent="0.35">
      <c r="A186" s="66" t="s">
        <v>1149</v>
      </c>
      <c r="B186" s="95"/>
      <c r="F186" s="92"/>
      <c r="G186" s="92"/>
    </row>
    <row r="187" spans="1:7" outlineLevel="1" x14ac:dyDescent="0.35">
      <c r="A187" s="66" t="s">
        <v>1150</v>
      </c>
      <c r="B187" s="95"/>
      <c r="F187" s="92"/>
      <c r="G187" s="92"/>
    </row>
    <row r="188" spans="1:7" outlineLevel="1" x14ac:dyDescent="0.35">
      <c r="A188" s="66" t="s">
        <v>1151</v>
      </c>
      <c r="B188" s="95"/>
      <c r="F188" s="92"/>
      <c r="G188" s="92"/>
    </row>
    <row r="189" spans="1:7" ht="15" customHeight="1" x14ac:dyDescent="0.35">
      <c r="A189" s="85"/>
      <c r="B189" s="86" t="s">
        <v>1152</v>
      </c>
      <c r="C189" s="85" t="s">
        <v>986</v>
      </c>
      <c r="D189" s="85"/>
      <c r="E189" s="87"/>
      <c r="F189" s="85"/>
      <c r="G189" s="85"/>
    </row>
    <row r="190" spans="1:7" x14ac:dyDescent="0.35">
      <c r="A190" s="66" t="s">
        <v>1153</v>
      </c>
      <c r="B190" s="83" t="s">
        <v>579</v>
      </c>
      <c r="C190" s="181" t="s">
        <v>82</v>
      </c>
      <c r="E190" s="103"/>
      <c r="F190" s="103"/>
      <c r="G190" s="103"/>
    </row>
    <row r="191" spans="1:7" x14ac:dyDescent="0.35">
      <c r="A191" s="66" t="s">
        <v>1154</v>
      </c>
      <c r="B191" s="83" t="s">
        <v>579</v>
      </c>
      <c r="C191" s="181" t="s">
        <v>82</v>
      </c>
      <c r="E191" s="103"/>
      <c r="F191" s="103"/>
      <c r="G191" s="103"/>
    </row>
    <row r="192" spans="1:7" x14ac:dyDescent="0.35">
      <c r="A192" s="66" t="s">
        <v>1155</v>
      </c>
      <c r="B192" s="83" t="s">
        <v>579</v>
      </c>
      <c r="C192" s="181" t="s">
        <v>82</v>
      </c>
      <c r="E192" s="103"/>
      <c r="F192" s="103"/>
      <c r="G192" s="103"/>
    </row>
    <row r="193" spans="1:7" x14ac:dyDescent="0.35">
      <c r="A193" s="66" t="s">
        <v>1156</v>
      </c>
      <c r="B193" s="83" t="s">
        <v>579</v>
      </c>
      <c r="C193" s="181" t="s">
        <v>82</v>
      </c>
      <c r="E193" s="103"/>
      <c r="F193" s="103"/>
      <c r="G193" s="103"/>
    </row>
    <row r="194" spans="1:7" x14ac:dyDescent="0.35">
      <c r="A194" s="66" t="s">
        <v>1157</v>
      </c>
      <c r="B194" s="83" t="s">
        <v>579</v>
      </c>
      <c r="C194" s="181" t="s">
        <v>82</v>
      </c>
      <c r="E194" s="103"/>
      <c r="F194" s="103"/>
      <c r="G194" s="103"/>
    </row>
    <row r="195" spans="1:7" x14ac:dyDescent="0.35">
      <c r="A195" s="66" t="s">
        <v>1158</v>
      </c>
      <c r="B195" s="166" t="s">
        <v>579</v>
      </c>
      <c r="C195" s="181" t="s">
        <v>82</v>
      </c>
      <c r="E195" s="103"/>
      <c r="F195" s="103"/>
      <c r="G195" s="103"/>
    </row>
    <row r="196" spans="1:7" x14ac:dyDescent="0.35">
      <c r="A196" s="66" t="s">
        <v>1159</v>
      </c>
      <c r="B196" s="83" t="s">
        <v>579</v>
      </c>
      <c r="C196" s="181" t="s">
        <v>82</v>
      </c>
      <c r="E196" s="103"/>
      <c r="F196" s="103"/>
      <c r="G196" s="103"/>
    </row>
    <row r="197" spans="1:7" x14ac:dyDescent="0.35">
      <c r="A197" s="66" t="s">
        <v>1160</v>
      </c>
      <c r="B197" s="83" t="s">
        <v>579</v>
      </c>
      <c r="C197" s="181" t="s">
        <v>82</v>
      </c>
      <c r="E197" s="103"/>
      <c r="F197" s="103"/>
    </row>
    <row r="198" spans="1:7" x14ac:dyDescent="0.35">
      <c r="A198" s="66" t="s">
        <v>1161</v>
      </c>
      <c r="B198" s="83" t="s">
        <v>579</v>
      </c>
      <c r="C198" s="181" t="s">
        <v>82</v>
      </c>
      <c r="E198" s="103"/>
      <c r="F198" s="103"/>
    </row>
    <row r="199" spans="1:7" x14ac:dyDescent="0.35">
      <c r="A199" s="66" t="s">
        <v>1162</v>
      </c>
      <c r="B199" s="83" t="s">
        <v>579</v>
      </c>
      <c r="C199" s="181" t="s">
        <v>82</v>
      </c>
      <c r="E199" s="103"/>
      <c r="F199" s="103"/>
    </row>
    <row r="200" spans="1:7" x14ac:dyDescent="0.35">
      <c r="A200" s="66" t="s">
        <v>1163</v>
      </c>
      <c r="B200" s="83" t="s">
        <v>579</v>
      </c>
      <c r="C200" s="181" t="s">
        <v>82</v>
      </c>
      <c r="E200" s="103"/>
      <c r="F200" s="103"/>
    </row>
    <row r="201" spans="1:7" x14ac:dyDescent="0.35">
      <c r="A201" s="66" t="s">
        <v>1164</v>
      </c>
      <c r="B201" s="83" t="s">
        <v>579</v>
      </c>
      <c r="C201" s="181" t="s">
        <v>82</v>
      </c>
      <c r="E201" s="103"/>
      <c r="F201" s="103"/>
    </row>
    <row r="202" spans="1:7" x14ac:dyDescent="0.35">
      <c r="A202" s="66" t="s">
        <v>1165</v>
      </c>
      <c r="B202" s="83" t="s">
        <v>579</v>
      </c>
      <c r="C202" s="181" t="s">
        <v>82</v>
      </c>
    </row>
    <row r="203" spans="1:7" x14ac:dyDescent="0.35">
      <c r="A203" s="66" t="s">
        <v>1166</v>
      </c>
      <c r="B203" s="83" t="s">
        <v>579</v>
      </c>
      <c r="C203" s="181" t="s">
        <v>82</v>
      </c>
    </row>
    <row r="204" spans="1:7" x14ac:dyDescent="0.35">
      <c r="A204" s="66" t="s">
        <v>1167</v>
      </c>
      <c r="B204" s="83" t="s">
        <v>579</v>
      </c>
      <c r="C204" s="181" t="s">
        <v>82</v>
      </c>
    </row>
    <row r="205" spans="1:7" x14ac:dyDescent="0.35">
      <c r="A205" s="66" t="s">
        <v>1168</v>
      </c>
      <c r="B205" s="83" t="s">
        <v>579</v>
      </c>
      <c r="C205" s="181" t="s">
        <v>82</v>
      </c>
    </row>
    <row r="206" spans="1:7" x14ac:dyDescent="0.35">
      <c r="A206" s="66" t="s">
        <v>1169</v>
      </c>
      <c r="B206" s="83" t="s">
        <v>579</v>
      </c>
      <c r="C206" s="181" t="s">
        <v>82</v>
      </c>
    </row>
    <row r="207" spans="1:7" outlineLevel="1" x14ac:dyDescent="0.35">
      <c r="A207" s="66" t="s">
        <v>1170</v>
      </c>
    </row>
    <row r="208" spans="1:7" outlineLevel="1" x14ac:dyDescent="0.35">
      <c r="A208" s="66" t="s">
        <v>1171</v>
      </c>
    </row>
    <row r="209" spans="1:1" outlineLevel="1" x14ac:dyDescent="0.35">
      <c r="A209" s="66" t="s">
        <v>1172</v>
      </c>
    </row>
    <row r="210" spans="1:1" outlineLevel="1" x14ac:dyDescent="0.35">
      <c r="A210" s="66" t="s">
        <v>1173</v>
      </c>
    </row>
    <row r="211" spans="1:1" outlineLevel="1" x14ac:dyDescent="0.35">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&amp;C&amp;1#&amp;"Calibri"&amp;10&amp;K000000INTERNE</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7" sqref="C7"/>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6" customFormat="1" ht="31" x14ac:dyDescent="0.35">
      <c r="A1" s="184" t="s">
        <v>1175</v>
      </c>
      <c r="B1" s="184"/>
      <c r="C1" s="369" t="s">
        <v>2773</v>
      </c>
      <c r="D1" s="23"/>
      <c r="E1" s="23"/>
      <c r="F1" s="23"/>
      <c r="G1" s="23"/>
      <c r="H1" s="23"/>
      <c r="I1" s="23"/>
      <c r="J1" s="23"/>
      <c r="K1" s="23"/>
      <c r="L1" s="23"/>
      <c r="M1" s="23"/>
    </row>
    <row r="2" spans="1:13" x14ac:dyDescent="0.35">
      <c r="B2" s="64"/>
      <c r="C2" s="64"/>
    </row>
    <row r="3" spans="1:13" x14ac:dyDescent="0.35">
      <c r="A3" s="117" t="s">
        <v>1176</v>
      </c>
      <c r="B3" s="118"/>
      <c r="C3" s="64"/>
    </row>
    <row r="4" spans="1:13" x14ac:dyDescent="0.35">
      <c r="C4" s="64"/>
    </row>
    <row r="5" spans="1:13" ht="18.5" x14ac:dyDescent="0.35">
      <c r="A5" s="77" t="s">
        <v>80</v>
      </c>
      <c r="B5" s="77" t="s">
        <v>1177</v>
      </c>
      <c r="C5" s="119" t="s">
        <v>1555</v>
      </c>
    </row>
    <row r="6" spans="1:13" ht="29" x14ac:dyDescent="0.35">
      <c r="A6" s="1" t="s">
        <v>1178</v>
      </c>
      <c r="B6" s="80" t="s">
        <v>2748</v>
      </c>
      <c r="C6" s="387" t="s">
        <v>2747</v>
      </c>
    </row>
    <row r="7" spans="1:13" ht="29" x14ac:dyDescent="0.35">
      <c r="A7" s="1" t="s">
        <v>1179</v>
      </c>
      <c r="B7" s="80" t="s">
        <v>2750</v>
      </c>
      <c r="C7" s="387" t="s">
        <v>2751</v>
      </c>
    </row>
    <row r="8" spans="1:13" ht="29" x14ac:dyDescent="0.35">
      <c r="A8" s="1" t="s">
        <v>1180</v>
      </c>
      <c r="B8" s="80" t="s">
        <v>2749</v>
      </c>
      <c r="C8" s="387" t="s">
        <v>2752</v>
      </c>
    </row>
    <row r="9" spans="1:13" x14ac:dyDescent="0.35">
      <c r="A9" s="1" t="s">
        <v>1181</v>
      </c>
      <c r="B9" s="80" t="s">
        <v>1182</v>
      </c>
      <c r="C9" s="339" t="s">
        <v>82</v>
      </c>
    </row>
    <row r="10" spans="1:13" ht="44.25" customHeight="1" x14ac:dyDescent="0.35">
      <c r="A10" s="1" t="s">
        <v>1183</v>
      </c>
      <c r="B10" s="80" t="s">
        <v>1397</v>
      </c>
      <c r="C10" s="339" t="s">
        <v>82</v>
      </c>
    </row>
    <row r="11" spans="1:13" ht="54.75" customHeight="1" x14ac:dyDescent="0.35">
      <c r="A11" s="1" t="s">
        <v>1184</v>
      </c>
      <c r="B11" s="80" t="s">
        <v>1185</v>
      </c>
      <c r="C11" s="339" t="s">
        <v>82</v>
      </c>
    </row>
    <row r="12" spans="1:13" x14ac:dyDescent="0.35">
      <c r="A12" s="1" t="s">
        <v>1186</v>
      </c>
      <c r="B12" s="80" t="s">
        <v>2678</v>
      </c>
      <c r="C12" s="339" t="s">
        <v>2679</v>
      </c>
    </row>
    <row r="13" spans="1:13" x14ac:dyDescent="0.35">
      <c r="A13" s="1" t="s">
        <v>1188</v>
      </c>
      <c r="B13" s="80" t="s">
        <v>1187</v>
      </c>
      <c r="C13" s="339" t="s">
        <v>82</v>
      </c>
    </row>
    <row r="14" spans="1:13" x14ac:dyDescent="0.35">
      <c r="A14" s="1" t="s">
        <v>1190</v>
      </c>
      <c r="B14" s="80" t="s">
        <v>1189</v>
      </c>
      <c r="C14" s="339" t="s">
        <v>82</v>
      </c>
    </row>
    <row r="15" spans="1:13" ht="29" x14ac:dyDescent="0.35">
      <c r="A15" s="1" t="s">
        <v>1192</v>
      </c>
      <c r="B15" s="80" t="s">
        <v>1191</v>
      </c>
      <c r="C15" s="339" t="s">
        <v>82</v>
      </c>
    </row>
    <row r="16" spans="1:13" x14ac:dyDescent="0.35">
      <c r="A16" s="1" t="s">
        <v>1194</v>
      </c>
      <c r="B16" s="80" t="s">
        <v>1193</v>
      </c>
      <c r="C16" s="339" t="s">
        <v>82</v>
      </c>
    </row>
    <row r="17" spans="1:13" ht="30" customHeight="1" x14ac:dyDescent="0.35">
      <c r="A17" s="1" t="s">
        <v>1196</v>
      </c>
      <c r="B17" s="84" t="s">
        <v>1195</v>
      </c>
      <c r="C17" s="339" t="s">
        <v>82</v>
      </c>
    </row>
    <row r="18" spans="1:13" x14ac:dyDescent="0.35">
      <c r="A18" s="1" t="s">
        <v>1198</v>
      </c>
      <c r="B18" s="84" t="s">
        <v>1197</v>
      </c>
      <c r="C18" s="339" t="s">
        <v>82</v>
      </c>
    </row>
    <row r="19" spans="1:13" s="258" customFormat="1" x14ac:dyDescent="0.35">
      <c r="A19" s="217" t="s">
        <v>2677</v>
      </c>
      <c r="B19" s="84" t="s">
        <v>1199</v>
      </c>
      <c r="C19" s="339" t="s">
        <v>82</v>
      </c>
      <c r="D19" s="2"/>
      <c r="E19" s="2"/>
      <c r="F19" s="2"/>
      <c r="G19" s="2"/>
      <c r="H19" s="2"/>
      <c r="I19" s="2"/>
      <c r="J19" s="2"/>
    </row>
    <row r="20" spans="1:13" s="258" customFormat="1" x14ac:dyDescent="0.35">
      <c r="A20" s="217" t="s">
        <v>2680</v>
      </c>
      <c r="B20" s="80" t="s">
        <v>2676</v>
      </c>
      <c r="C20" s="339" t="s">
        <v>82</v>
      </c>
      <c r="D20" s="2"/>
      <c r="E20" s="2"/>
      <c r="F20" s="2"/>
      <c r="G20" s="2"/>
      <c r="H20" s="2"/>
      <c r="I20" s="2"/>
      <c r="J20" s="2"/>
    </row>
    <row r="21" spans="1:13" s="258" customFormat="1" x14ac:dyDescent="0.35">
      <c r="A21" s="107" t="s">
        <v>1200</v>
      </c>
      <c r="B21" s="81" t="s">
        <v>1201</v>
      </c>
      <c r="C21" s="390"/>
      <c r="D21" s="2"/>
      <c r="E21" s="2"/>
      <c r="F21" s="2"/>
      <c r="G21" s="2"/>
      <c r="H21" s="2"/>
      <c r="I21" s="2"/>
      <c r="J21" s="2"/>
    </row>
    <row r="22" spans="1:13" s="258" customFormat="1" x14ac:dyDescent="0.35">
      <c r="A22" s="107" t="s">
        <v>1202</v>
      </c>
      <c r="C22" s="390"/>
      <c r="D22" s="2"/>
      <c r="E22" s="2"/>
      <c r="F22" s="2"/>
      <c r="G22" s="2"/>
      <c r="H22" s="2"/>
      <c r="I22" s="2"/>
      <c r="J22" s="2"/>
    </row>
    <row r="23" spans="1:13" outlineLevel="1" x14ac:dyDescent="0.35">
      <c r="A23" s="107" t="s">
        <v>1203</v>
      </c>
      <c r="B23" s="275"/>
      <c r="C23" s="339"/>
    </row>
    <row r="24" spans="1:13" outlineLevel="1" x14ac:dyDescent="0.35">
      <c r="A24" s="107" t="s">
        <v>1204</v>
      </c>
      <c r="B24" s="112"/>
      <c r="C24" s="339"/>
    </row>
    <row r="25" spans="1:13" outlineLevel="1" x14ac:dyDescent="0.35">
      <c r="A25" s="107" t="s">
        <v>1205</v>
      </c>
      <c r="B25" s="112"/>
      <c r="C25" s="339"/>
    </row>
    <row r="26" spans="1:13" outlineLevel="1" x14ac:dyDescent="0.35">
      <c r="A26" s="107" t="s">
        <v>2338</v>
      </c>
      <c r="B26" s="112"/>
      <c r="C26" s="339"/>
    </row>
    <row r="27" spans="1:13" outlineLevel="1" x14ac:dyDescent="0.35">
      <c r="A27" s="107" t="s">
        <v>2339</v>
      </c>
      <c r="B27" s="112"/>
      <c r="C27" s="339"/>
    </row>
    <row r="28" spans="1:13" s="258" customFormat="1" ht="18.5" outlineLevel="1" x14ac:dyDescent="0.35">
      <c r="A28" s="327"/>
      <c r="B28" s="320" t="s">
        <v>2271</v>
      </c>
      <c r="C28" s="119" t="s">
        <v>1555</v>
      </c>
      <c r="D28" s="2"/>
      <c r="E28" s="2"/>
      <c r="F28" s="2"/>
      <c r="G28" s="2"/>
      <c r="H28" s="2"/>
      <c r="I28" s="2"/>
      <c r="J28" s="2"/>
      <c r="K28" s="2"/>
      <c r="L28" s="2"/>
      <c r="M28" s="2"/>
    </row>
    <row r="29" spans="1:13" s="258" customFormat="1" outlineLevel="1" x14ac:dyDescent="0.35">
      <c r="A29" s="107" t="s">
        <v>1207</v>
      </c>
      <c r="B29" s="80" t="s">
        <v>2269</v>
      </c>
      <c r="C29" s="339" t="s">
        <v>82</v>
      </c>
      <c r="D29" s="2"/>
      <c r="E29" s="2"/>
      <c r="F29" s="2"/>
      <c r="G29" s="2"/>
      <c r="H29" s="2"/>
      <c r="I29" s="2"/>
      <c r="J29" s="2"/>
      <c r="K29" s="2"/>
      <c r="L29" s="2"/>
      <c r="M29" s="2"/>
    </row>
    <row r="30" spans="1:13" s="258" customFormat="1" outlineLevel="1" x14ac:dyDescent="0.35">
      <c r="A30" s="107" t="s">
        <v>1210</v>
      </c>
      <c r="B30" s="80" t="s">
        <v>2270</v>
      </c>
      <c r="C30" s="339" t="s">
        <v>82</v>
      </c>
      <c r="D30" s="2"/>
      <c r="E30" s="2"/>
      <c r="F30" s="2"/>
      <c r="G30" s="2"/>
      <c r="H30" s="2"/>
      <c r="I30" s="2"/>
      <c r="J30" s="2"/>
      <c r="K30" s="2"/>
      <c r="L30" s="2"/>
      <c r="M30" s="2"/>
    </row>
    <row r="31" spans="1:13" s="258" customFormat="1" outlineLevel="1" x14ac:dyDescent="0.35">
      <c r="A31" s="107" t="s">
        <v>1213</v>
      </c>
      <c r="B31" s="80" t="s">
        <v>2268</v>
      </c>
      <c r="C31" s="339" t="s">
        <v>82</v>
      </c>
      <c r="D31" s="2"/>
      <c r="E31" s="2"/>
      <c r="F31" s="2"/>
      <c r="G31" s="2"/>
      <c r="H31" s="2"/>
      <c r="I31" s="2"/>
      <c r="J31" s="2"/>
      <c r="K31" s="2"/>
      <c r="L31" s="2"/>
      <c r="M31" s="2"/>
    </row>
    <row r="32" spans="1:13" s="258" customFormat="1" outlineLevel="1" x14ac:dyDescent="0.35">
      <c r="A32" s="107" t="s">
        <v>1216</v>
      </c>
      <c r="B32" s="391"/>
      <c r="C32" s="339"/>
      <c r="D32" s="2"/>
      <c r="E32" s="2"/>
      <c r="F32" s="2"/>
      <c r="G32" s="2"/>
      <c r="H32" s="2"/>
      <c r="I32" s="2"/>
      <c r="J32" s="2"/>
      <c r="K32" s="2"/>
      <c r="L32" s="2"/>
      <c r="M32" s="2"/>
    </row>
    <row r="33" spans="1:13" s="258" customFormat="1" outlineLevel="1" x14ac:dyDescent="0.35">
      <c r="A33" s="107" t="s">
        <v>1217</v>
      </c>
      <c r="B33" s="391"/>
      <c r="C33" s="339"/>
      <c r="D33" s="2"/>
      <c r="E33" s="2"/>
      <c r="F33" s="2"/>
      <c r="G33" s="2"/>
      <c r="H33" s="2"/>
      <c r="I33" s="2"/>
      <c r="J33" s="2"/>
      <c r="K33" s="2"/>
      <c r="L33" s="2"/>
      <c r="M33" s="2"/>
    </row>
    <row r="34" spans="1:13" s="258" customFormat="1" outlineLevel="1" x14ac:dyDescent="0.35">
      <c r="A34" s="107" t="s">
        <v>1541</v>
      </c>
      <c r="B34" s="391"/>
      <c r="C34" s="339"/>
      <c r="D34" s="2"/>
      <c r="E34" s="2"/>
      <c r="F34" s="2"/>
      <c r="G34" s="2"/>
      <c r="H34" s="2"/>
      <c r="I34" s="2"/>
      <c r="J34" s="2"/>
      <c r="K34" s="2"/>
      <c r="L34" s="2"/>
      <c r="M34" s="2"/>
    </row>
    <row r="35" spans="1:13" s="258" customFormat="1" outlineLevel="1" x14ac:dyDescent="0.35">
      <c r="A35" s="107" t="s">
        <v>2282</v>
      </c>
      <c r="B35" s="391"/>
      <c r="C35" s="339"/>
      <c r="D35" s="2"/>
      <c r="E35" s="2"/>
      <c r="F35" s="2"/>
      <c r="G35" s="2"/>
      <c r="H35" s="2"/>
      <c r="I35" s="2"/>
      <c r="J35" s="2"/>
      <c r="K35" s="2"/>
      <c r="L35" s="2"/>
      <c r="M35" s="2"/>
    </row>
    <row r="36" spans="1:13" s="258" customFormat="1" outlineLevel="1" x14ac:dyDescent="0.35">
      <c r="A36" s="107" t="s">
        <v>2283</v>
      </c>
      <c r="B36" s="391"/>
      <c r="C36" s="339"/>
      <c r="D36" s="2"/>
      <c r="E36" s="2"/>
      <c r="F36" s="2"/>
      <c r="G36" s="2"/>
      <c r="H36" s="2"/>
      <c r="I36" s="2"/>
      <c r="J36" s="2"/>
      <c r="K36" s="2"/>
      <c r="L36" s="2"/>
      <c r="M36" s="2"/>
    </row>
    <row r="37" spans="1:13" s="258" customFormat="1" outlineLevel="1" x14ac:dyDescent="0.35">
      <c r="A37" s="107" t="s">
        <v>2284</v>
      </c>
      <c r="B37" s="391"/>
      <c r="C37" s="339"/>
      <c r="D37" s="2"/>
      <c r="E37" s="2"/>
      <c r="F37" s="2"/>
      <c r="G37" s="2"/>
      <c r="H37" s="2"/>
      <c r="I37" s="2"/>
      <c r="J37" s="2"/>
      <c r="K37" s="2"/>
      <c r="L37" s="2"/>
      <c r="M37" s="2"/>
    </row>
    <row r="38" spans="1:13" s="258" customFormat="1" outlineLevel="1" x14ac:dyDescent="0.35">
      <c r="A38" s="107" t="s">
        <v>2285</v>
      </c>
      <c r="B38" s="391"/>
      <c r="C38" s="339"/>
      <c r="D38" s="2"/>
      <c r="E38" s="2"/>
      <c r="F38" s="2"/>
      <c r="G38" s="2"/>
      <c r="H38" s="2"/>
      <c r="I38" s="2"/>
      <c r="J38" s="2"/>
      <c r="K38" s="2"/>
      <c r="L38" s="2"/>
      <c r="M38" s="2"/>
    </row>
    <row r="39" spans="1:13" s="258" customFormat="1" outlineLevel="1" x14ac:dyDescent="0.35">
      <c r="A39" s="107" t="s">
        <v>2286</v>
      </c>
      <c r="B39" s="391"/>
      <c r="C39" s="339"/>
      <c r="D39" s="2"/>
      <c r="E39" s="2"/>
      <c r="F39" s="2"/>
      <c r="G39" s="2"/>
      <c r="H39" s="2"/>
      <c r="I39" s="2"/>
      <c r="J39" s="2"/>
      <c r="K39" s="2"/>
      <c r="L39" s="2"/>
      <c r="M39" s="2"/>
    </row>
    <row r="40" spans="1:13" s="258" customFormat="1" outlineLevel="1" x14ac:dyDescent="0.35">
      <c r="A40" s="107" t="s">
        <v>2287</v>
      </c>
      <c r="B40" s="391"/>
      <c r="C40" s="339"/>
      <c r="D40" s="2"/>
      <c r="E40" s="2"/>
      <c r="F40" s="2"/>
      <c r="G40" s="2"/>
      <c r="H40" s="2"/>
      <c r="I40" s="2"/>
      <c r="J40" s="2"/>
      <c r="K40" s="2"/>
      <c r="L40" s="2"/>
      <c r="M40" s="2"/>
    </row>
    <row r="41" spans="1:13" s="258" customFormat="1" outlineLevel="1" x14ac:dyDescent="0.35">
      <c r="A41" s="107" t="s">
        <v>2288</v>
      </c>
      <c r="B41" s="391"/>
      <c r="C41" s="339"/>
      <c r="D41" s="2"/>
      <c r="E41" s="2"/>
      <c r="F41" s="2"/>
      <c r="G41" s="2"/>
      <c r="H41" s="2"/>
      <c r="I41" s="2"/>
      <c r="J41" s="2"/>
      <c r="K41" s="2"/>
      <c r="L41" s="2"/>
      <c r="M41" s="2"/>
    </row>
    <row r="42" spans="1:13" s="258" customFormat="1" outlineLevel="1" x14ac:dyDescent="0.35">
      <c r="A42" s="107" t="s">
        <v>2289</v>
      </c>
      <c r="B42" s="391"/>
      <c r="C42" s="339"/>
      <c r="D42" s="2"/>
      <c r="E42" s="2"/>
      <c r="F42" s="2"/>
      <c r="G42" s="2"/>
      <c r="H42" s="2"/>
      <c r="I42" s="2"/>
      <c r="J42" s="2"/>
      <c r="K42" s="2"/>
      <c r="L42" s="2"/>
      <c r="M42" s="2"/>
    </row>
    <row r="43" spans="1:13" s="258" customFormat="1" outlineLevel="1" x14ac:dyDescent="0.35">
      <c r="A43" s="107" t="s">
        <v>2290</v>
      </c>
      <c r="B43" s="391"/>
      <c r="C43" s="339"/>
      <c r="D43" s="2"/>
      <c r="E43" s="2"/>
      <c r="F43" s="2"/>
      <c r="G43" s="2"/>
      <c r="H43" s="2"/>
      <c r="I43" s="2"/>
      <c r="J43" s="2"/>
      <c r="K43" s="2"/>
      <c r="L43" s="2"/>
      <c r="M43" s="2"/>
    </row>
    <row r="44" spans="1:13" ht="18.5" x14ac:dyDescent="0.35">
      <c r="A44" s="77"/>
      <c r="B44" s="77" t="s">
        <v>2272</v>
      </c>
      <c r="C44" s="119" t="s">
        <v>1206</v>
      </c>
    </row>
    <row r="45" spans="1:13" x14ac:dyDescent="0.35">
      <c r="A45" s="1" t="s">
        <v>1218</v>
      </c>
      <c r="B45" s="84" t="s">
        <v>1208</v>
      </c>
      <c r="C45" s="66" t="s">
        <v>1209</v>
      </c>
    </row>
    <row r="46" spans="1:13" x14ac:dyDescent="0.35">
      <c r="A46" s="217" t="s">
        <v>2274</v>
      </c>
      <c r="B46" s="84" t="s">
        <v>1211</v>
      </c>
      <c r="C46" s="66" t="s">
        <v>1212</v>
      </c>
    </row>
    <row r="47" spans="1:13" x14ac:dyDescent="0.35">
      <c r="A47" s="217" t="s">
        <v>2275</v>
      </c>
      <c r="B47" s="84" t="s">
        <v>1214</v>
      </c>
      <c r="C47" s="66" t="s">
        <v>1215</v>
      </c>
    </row>
    <row r="48" spans="1:13" outlineLevel="1" x14ac:dyDescent="0.35">
      <c r="A48" s="1" t="s">
        <v>1220</v>
      </c>
      <c r="B48" s="333"/>
      <c r="C48" s="339"/>
    </row>
    <row r="49" spans="1:3" outlineLevel="1" x14ac:dyDescent="0.35">
      <c r="A49" s="217" t="s">
        <v>1221</v>
      </c>
      <c r="B49" s="333"/>
      <c r="C49" s="339"/>
    </row>
    <row r="50" spans="1:3" outlineLevel="1" x14ac:dyDescent="0.35">
      <c r="A50" s="217" t="s">
        <v>1222</v>
      </c>
      <c r="B50" s="392"/>
      <c r="C50" s="339"/>
    </row>
    <row r="51" spans="1:3" ht="18.5" x14ac:dyDescent="0.35">
      <c r="A51" s="77"/>
      <c r="B51" s="77" t="s">
        <v>2273</v>
      </c>
      <c r="C51" s="119" t="s">
        <v>1555</v>
      </c>
    </row>
    <row r="52" spans="1:3" x14ac:dyDescent="0.35">
      <c r="A52" s="1" t="s">
        <v>2276</v>
      </c>
      <c r="B52" s="80" t="s">
        <v>1219</v>
      </c>
      <c r="C52" s="66" t="s">
        <v>82</v>
      </c>
    </row>
    <row r="53" spans="1:3" x14ac:dyDescent="0.35">
      <c r="A53" s="1" t="s">
        <v>2277</v>
      </c>
      <c r="B53" s="333"/>
      <c r="C53" s="393"/>
    </row>
    <row r="54" spans="1:3" x14ac:dyDescent="0.35">
      <c r="A54" s="217" t="s">
        <v>2278</v>
      </c>
      <c r="B54" s="333"/>
      <c r="C54" s="393"/>
    </row>
    <row r="55" spans="1:3" x14ac:dyDescent="0.35">
      <c r="A55" s="217" t="s">
        <v>2279</v>
      </c>
      <c r="B55" s="333"/>
      <c r="C55" s="393"/>
    </row>
    <row r="56" spans="1:3" x14ac:dyDescent="0.35">
      <c r="A56" s="217" t="s">
        <v>2280</v>
      </c>
      <c r="B56" s="333"/>
      <c r="C56" s="393"/>
    </row>
    <row r="57" spans="1:3" x14ac:dyDescent="0.35">
      <c r="A57" s="217" t="s">
        <v>2281</v>
      </c>
      <c r="B57" s="333"/>
      <c r="C57" s="39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&amp;C&amp;1#&amp;"Calibri"&amp;10&amp;K000000INTERNE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3F05E-60D8-4427-B4FF-C5B9E800F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780278B-0284-4EC3-996C-CC591B71EBE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7F1745-76F2-4575-8A69-54213EBB4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205</vt:i4>
      </vt:variant>
    </vt:vector>
  </HeadingPairs>
  <TitlesOfParts>
    <vt:vector size="22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D.Overview</vt:lpstr>
      <vt:lpstr>D.Residential</vt:lpstr>
      <vt:lpstr>D.Covered bonds</vt:lpstr>
      <vt:lpstr>D. Insert Nat Trans Templ</vt:lpstr>
      <vt:lpstr>E. Optional ECB-ECAIs data</vt:lpstr>
      <vt:lpstr>F1. Sustainable M data</vt:lpstr>
      <vt:lpstr>G1. Crisis M Payment Holidays</vt:lpstr>
      <vt:lpstr>E.g. General</vt:lpstr>
      <vt:lpstr>E.g. Other</vt:lpstr>
      <vt:lpstr>Z. Calculations</vt:lpstr>
      <vt:lpstr>AVERAGE_CURRENT_INDEXED_LTV</vt:lpstr>
      <vt:lpstr>AVERAGE_CURRENT_UNINDEXED_LTV</vt:lpstr>
      <vt:lpstr>AVERAGE_REMAINING_TERM</vt:lpstr>
      <vt:lpstr>AVERAGE_SEASONING</vt:lpstr>
      <vt:lpstr>BONDS_AMOUNT</vt:lpstr>
      <vt:lpstr>BONDS_AMOUNT_CHF</vt:lpstr>
      <vt:lpstr>BONDS_AMOUNT_EUR</vt:lpstr>
      <vt:lpstr>BONDS_AMOUNT_EXPIRE_0_1_AN</vt:lpstr>
      <vt:lpstr>BONDS_AMOUNT_EXPIRE_1_2_ANS</vt:lpstr>
      <vt:lpstr>BONDS_AMOUNT_EXPIRE_2_3_ANS</vt:lpstr>
      <vt:lpstr>BONDS_AMOUNT_EXPIRE_3_4_ANS</vt:lpstr>
      <vt:lpstr>BONDS_AMOUNT_EXPIRE_4_5_ANS</vt:lpstr>
      <vt:lpstr>BONDS_AMOUNT_EXPIRE_5_10_ANS</vt:lpstr>
      <vt:lpstr>BONDS_AMOUNT_EXPIRE_APRES_10_ANS</vt:lpstr>
      <vt:lpstr>BONDS_AMOUNT_SOFT_BULLET_EXPIRE_0_1_AN</vt:lpstr>
      <vt:lpstr>BONDS_AMOUNT_SOFT_BULLET_EXPIRE_1_2_ANS</vt:lpstr>
      <vt:lpstr>BONDS_AMOUNT_SOFT_BULLET_EXPIRE_2_3_ANS</vt:lpstr>
      <vt:lpstr>BONDS_AMOUNT_SOFT_BULLET_EXPIRE_3_4_ANS</vt:lpstr>
      <vt:lpstr>BONDS_AMOUNT_SOFT_BULLET_EXPIRE_4_5_ANS</vt:lpstr>
      <vt:lpstr>BONDS_AMOUNT_SOFT_BULLET_EXPIRE_5_10_ANS</vt:lpstr>
      <vt:lpstr>BONDS_AMOUNT_SOFT_BULLET_EXPIRE_APRES_10_ANS</vt:lpstr>
      <vt:lpstr>BONDS_EMIS_ANNEE_N</vt:lpstr>
      <vt:lpstr>BONDS_EMIS_ANNEE_N_MOINS_DEUX</vt:lpstr>
      <vt:lpstr>BONDS_EMIS_ANNEE_N_MOINS_TROIS</vt:lpstr>
      <vt:lpstr>BONDS_EMIS_ANNEE_N_MOINS_UN</vt:lpstr>
      <vt:lpstr>BONDS_EXTENDED_MATURITY_YEARS</vt:lpstr>
      <vt:lpstr>CORE_TIER1_RATIO</vt:lpstr>
      <vt:lpstr>COVID19_NBE_PRETS</vt:lpstr>
      <vt:lpstr>COVID19_NOMINAL</vt:lpstr>
      <vt:lpstr>CRD_PRET_REMBOURSEMENT_AUTRE</vt:lpstr>
      <vt:lpstr>CRD_PRET_REMBOURSEMENT_ECHEANCES_CONSTANTES</vt:lpstr>
      <vt:lpstr>CRD_PRET_REMBOURSEMENT_IN_FINE</vt:lpstr>
      <vt:lpstr>CRD_PRETS__0_INDEXED_LTV_40</vt:lpstr>
      <vt:lpstr>CRD_PRETS__0_UNINDEXED_LTV_40</vt:lpstr>
      <vt:lpstr>CRD_PRETS__10_LARGEST_EXPOSURES</vt:lpstr>
      <vt:lpstr>CRD_PRETS__100_INDEXED_LTV_105</vt:lpstr>
      <vt:lpstr>CRD_PRETS__100_UNINDEXED_LTV_105</vt:lpstr>
      <vt:lpstr>CRD_PRETS__105_INDEXED_LTV</vt:lpstr>
      <vt:lpstr>CRD_PRETS__105_INDEXED_LTV_110</vt:lpstr>
      <vt:lpstr>CRD_PRETS__105_UNINDEXED_LTV</vt:lpstr>
      <vt:lpstr>CRD_PRETS__105_UNINDEXED_LTV_110</vt:lpstr>
      <vt:lpstr>CRD_PRETS__110_INDEXED_LTV_115</vt:lpstr>
      <vt:lpstr>CRD_PRETS__110_UNINDEXED_LTV_115</vt:lpstr>
      <vt:lpstr>CRD_PRETS__115_INDEXED_LTV</vt:lpstr>
      <vt:lpstr>CRD_PRETS__115_UNINDEXED_LTV</vt:lpstr>
      <vt:lpstr>CRD_PRETS__40_INDEXED_LTV_50</vt:lpstr>
      <vt:lpstr>CRD_PRETS__40_UNINDEXED_LTV_50</vt:lpstr>
      <vt:lpstr>CRD_PRETS__5_LARGEST_EXPOSURES</vt:lpstr>
      <vt:lpstr>CRD_PRETS__50_INDEXED_LTV_60</vt:lpstr>
      <vt:lpstr>CRD_PRETS__50_UNINDEXED_LTV_60</vt:lpstr>
      <vt:lpstr>CRD_PRETS__60_INDEXED_LTV_70</vt:lpstr>
      <vt:lpstr>CRD_PRETS__60_UNINDEXED_LTV_70</vt:lpstr>
      <vt:lpstr>CRD_PRETS__70_INDEXED_LTV_80</vt:lpstr>
      <vt:lpstr>CRD_PRETS__70_UNINDEXED_LTV_80</vt:lpstr>
      <vt:lpstr>CRD_PRETS__80_INDEXED_LTV_85</vt:lpstr>
      <vt:lpstr>CRD_PRETS__80_UNINDEXED_LTV_85</vt:lpstr>
      <vt:lpstr>CRD_PRETS__85_INDEXED_LTV_90</vt:lpstr>
      <vt:lpstr>CRD_PRETS__85_UNINDEXED_LTV_90</vt:lpstr>
      <vt:lpstr>CRD_PRETS__90_INDEXED_LTV_95</vt:lpstr>
      <vt:lpstr>CRD_PRETS__90_UNINDEXED_LTV_95</vt:lpstr>
      <vt:lpstr>CRD_PRETS__95_INDEXED_LTV_100</vt:lpstr>
      <vt:lpstr>CRD_PRETS__95_UNINDEXED_LTV_100</vt:lpstr>
      <vt:lpstr>CRD_PRETS__GARANTIE_CREDIT_LOGEMENT</vt:lpstr>
      <vt:lpstr>CRD_PRETS__GARANTIE_HYPOTHEQUE</vt:lpstr>
      <vt:lpstr>CRD_PRETS_ELIGIBLES_PRIS_PAR_AUTRE_APPLICATION</vt:lpstr>
      <vt:lpstr>CRD_PRETS_LOAN_PURPOSE_AUTRE</vt:lpstr>
      <vt:lpstr>CRD_PRETS_LOAN_PURPOSE_LOCATION</vt:lpstr>
      <vt:lpstr>CRD_PRETS_LOAN_PURPOSE_NO_DATA</vt:lpstr>
      <vt:lpstr>CRD_PRETS_LOAN_PURPOSE_RESIDENCE_PRINCIPALE</vt:lpstr>
      <vt:lpstr>CRD_PRETS_LOAN_PURPOSE_RESIDENCE_SECONDAIRE</vt:lpstr>
      <vt:lpstr>CRD_PRETS_OCCUPANCYTYPE_OWNEROCCUPIED__TOUTES_UNINDEXED_LTV</vt:lpstr>
      <vt:lpstr>CRD_PRETS_OCCUPANCYTYPE_VACATIONSECONDHOME__TOUTES_UNINDEXED_LTV</vt:lpstr>
      <vt:lpstr>CRD_PRETS_PROFESSION_EMPRUNTEUR_A_SON_COMPTE</vt:lpstr>
      <vt:lpstr>CRD_PRETS_PROFESSION_EMPRUNTEUR_AUTRE_INACTIF</vt:lpstr>
      <vt:lpstr>CRD_PRETS_PROFESSION_EMPRUNTEUR_EMPLOYE</vt:lpstr>
      <vt:lpstr>CRD_PRETS_PROFESSION_EMPRUNTEUR_FONCTIONNAIRE</vt:lpstr>
      <vt:lpstr>CRD_PRETS_PROFESSION_EMPRUNTEUR_INCONNUE</vt:lpstr>
      <vt:lpstr>CRD_PRETS_PROFESSION_EMPRUNTEUR_RETRAITE_PENSION</vt:lpstr>
      <vt:lpstr>CRD_PRETS_RATE_TYPE_FIXERATE__TOUTES_UNINDEXED_LTV</vt:lpstr>
      <vt:lpstr>CRD_PRETS_RATE_TYPE_FLOATINGRATE__TOUTES_UNINDEXED_LTV</vt:lpstr>
      <vt:lpstr>CRD_PRETS_REGION_ALSACE</vt:lpstr>
      <vt:lpstr>CRD_PRETS_REGION_AQUITAINE</vt:lpstr>
      <vt:lpstr>CRD_PRETS_REGION_AUVERGNE</vt:lpstr>
      <vt:lpstr>CRD_PRETS_REGION_AUVERGNE_RHONE_ALPES_2016</vt:lpstr>
      <vt:lpstr>CRD_PRETS_REGION_BASSE_NORMANDIE</vt:lpstr>
      <vt:lpstr>CRD_PRETS_REGION_BOURGOGNE</vt:lpstr>
      <vt:lpstr>CRD_PRETS_REGION_BOURGOGNE_FRANCHE_COMTE_2016</vt:lpstr>
      <vt:lpstr>CRD_PRETS_REGION_BRETAGNE</vt:lpstr>
      <vt:lpstr>CRD_PRETS_REGION_BRETAGNE_2016</vt:lpstr>
      <vt:lpstr>CRD_PRETS_REGION_CENTRE</vt:lpstr>
      <vt:lpstr>CRD_PRETS_REGION_CENTRE_VAL_DE_LOIRE_2016</vt:lpstr>
      <vt:lpstr>CRD_PRETS_REGION_CHAMPAGNE_ARDENNES</vt:lpstr>
      <vt:lpstr>CRD_PRETS_REGION_CORSE</vt:lpstr>
      <vt:lpstr>CRD_PRETS_REGION_CORSE_2016</vt:lpstr>
      <vt:lpstr>CRD_PRETS_REGION_FRANCHE_COMTE</vt:lpstr>
      <vt:lpstr>CRD_PRETS_REGION_GRAND_EST_2016</vt:lpstr>
      <vt:lpstr>CRD_PRETS_REGION_HAUTE_NORMANDIE</vt:lpstr>
      <vt:lpstr>CRD_PRETS_REGION_HAUTS_DE_FRANCE_2016</vt:lpstr>
      <vt:lpstr>CRD_PRETS_REGION_ILE_DE_FRANCE</vt:lpstr>
      <vt:lpstr>CRD_PRETS_REGION_ILE_DE_FRANCE_2016</vt:lpstr>
      <vt:lpstr>CRD_PRETS_REGION_LANGUEDOC_ROUSSILLON</vt:lpstr>
      <vt:lpstr>CRD_PRETS_REGION_LIMOUSIN</vt:lpstr>
      <vt:lpstr>CRD_PRETS_REGION_LORRAINE</vt:lpstr>
      <vt:lpstr>CRD_PRETS_REGION_MIDI_PYRENEES</vt:lpstr>
      <vt:lpstr>CRD_PRETS_REGION_NORD_PAS_DE_CALAIS</vt:lpstr>
      <vt:lpstr>CRD_PRETS_REGION_NORMANDIE_2016</vt:lpstr>
      <vt:lpstr>CRD_PRETS_REGION_NOUVELLE_AQUITAINE_2016</vt:lpstr>
      <vt:lpstr>CRD_PRETS_REGION_OCCITANIE_2016</vt:lpstr>
      <vt:lpstr>CRD_PRETS_REGION_PAYS_DE_LA_LOIRE</vt:lpstr>
      <vt:lpstr>CRD_PRETS_REGION_PAYS_DE_LA_LOIRE_2016</vt:lpstr>
      <vt:lpstr>CRD_PRETS_REGION_PICARDIE</vt:lpstr>
      <vt:lpstr>CRD_PRETS_REGION_POITOU_CHARENTES</vt:lpstr>
      <vt:lpstr>CRD_PRETS_REGION_PROVENCE_ALPES_COTE_AZUR</vt:lpstr>
      <vt:lpstr>CRD_PRETS_REGION_PROVENCE_ALPES_COTE_AZUR_2016</vt:lpstr>
      <vt:lpstr>CRD_PRETS_REGION_RHONE_ALPES</vt:lpstr>
      <vt:lpstr>CRD_PRETS_SEASONING_12_24_MONTHS</vt:lpstr>
      <vt:lpstr>CRD_PRETS_SEASONING_24_36_MONTHS</vt:lpstr>
      <vt:lpstr>CRD_PRETS_SEASONING_36_48_MONTHS</vt:lpstr>
      <vt:lpstr>CRD_PRETS_SEASONING_36_60_MONTHS</vt:lpstr>
      <vt:lpstr>CRD_PRETS_SEASONING_48_60_MONTHS</vt:lpstr>
      <vt:lpstr>CRD_PRETS_SEASONING_60_120_MONTHS</vt:lpstr>
      <vt:lpstr>CRD_PRETS_SEASONING_INF_12_MONTHS</vt:lpstr>
      <vt:lpstr>CRD_PRETS_SEASONING_SUP_120_MONTHS</vt:lpstr>
      <vt:lpstr>CRD_PRETS_SEASONING_SUP_60_MONTHS</vt:lpstr>
      <vt:lpstr>CRD_PRETS_SELECTION</vt:lpstr>
      <vt:lpstr>CRD_PRETS_SELECTIONNES_SFH_ELIGIBLES_ACC</vt:lpstr>
      <vt:lpstr>CRD_PRETS_TRANCHE_0_200000</vt:lpstr>
      <vt:lpstr>CRD_PRETS_TRANCHE_200000_400000</vt:lpstr>
      <vt:lpstr>CRD_PRETS_TRANCHE_400000_600000</vt:lpstr>
      <vt:lpstr>CRD_PRETS_TRANCHE_600000_800000</vt:lpstr>
      <vt:lpstr>CRD_PRETS_TRANCHE_800000_1000000</vt:lpstr>
      <vt:lpstr>CRD_PRETS_TRANCHE_SUP_1000000</vt:lpstr>
      <vt:lpstr>Disclaimer!general_tc</vt:lpstr>
      <vt:lpstr>LEGAL_COVERAGE_RATIO_CURRENT</vt:lpstr>
      <vt:lpstr>LEGAL_COVERAGE_RATIO_MINIMUM</vt:lpstr>
      <vt:lpstr>LIABILITIES_EQUITY</vt:lpstr>
      <vt:lpstr>LIABILITIES_OTHER_NON_PRIVILEGED_LIABILITIES</vt:lpstr>
      <vt:lpstr>LIABILITIES_OTHER_PRIVILEGED_LIABILITIES</vt:lpstr>
      <vt:lpstr>NBE_PRETS__0_INDEXED_LTV_40</vt:lpstr>
      <vt:lpstr>NBE_PRETS__0_UNINDEXED_LTV_40</vt:lpstr>
      <vt:lpstr>NBE_PRETS__100_INDEXED_LTV_105</vt:lpstr>
      <vt:lpstr>NBE_PRETS__100_UNINDEXED_LTV_105</vt:lpstr>
      <vt:lpstr>NBE_PRETS__105_INDEXED_LTV</vt:lpstr>
      <vt:lpstr>NBE_PRETS__105_UNINDEXED_LTV</vt:lpstr>
      <vt:lpstr>NBE_PRETS__40_INDEXED_LTV_50</vt:lpstr>
      <vt:lpstr>NBE_PRETS__40_UNINDEXED_LTV_50</vt:lpstr>
      <vt:lpstr>NBE_PRETS__50_INDEXED_LTV_60</vt:lpstr>
      <vt:lpstr>NBE_PRETS__50_UNINDEXED_LTV_60</vt:lpstr>
      <vt:lpstr>NBE_PRETS__60_INDEXED_LTV_70</vt:lpstr>
      <vt:lpstr>NBE_PRETS__60_UNINDEXED_LTV_70</vt:lpstr>
      <vt:lpstr>NBE_PRETS__70_INDEXED_LTV_80</vt:lpstr>
      <vt:lpstr>NBE_PRETS__70_UNINDEXED_LTV_80</vt:lpstr>
      <vt:lpstr>NBE_PRETS__80_INDEXED_LTV_85</vt:lpstr>
      <vt:lpstr>NBE_PRETS__80_UNINDEXED_LTV_85</vt:lpstr>
      <vt:lpstr>NBE_PRETS__85_INDEXED_LTV_90</vt:lpstr>
      <vt:lpstr>NBE_PRETS__85_UNINDEXED_LTV_90</vt:lpstr>
      <vt:lpstr>NBE_PRETS__90_INDEXED_LTV_95</vt:lpstr>
      <vt:lpstr>NBE_PRETS__90_UNINDEXED_LTV_95</vt:lpstr>
      <vt:lpstr>NBE_PRETS__95_INDEXED_LTV_100</vt:lpstr>
      <vt:lpstr>NBE_PRETS__95_UNINDEXED_LTV_100</vt:lpstr>
      <vt:lpstr>NBE_PRETS_SELECTION</vt:lpstr>
      <vt:lpstr>NBE_PRETS_TRANCHE_0_200000</vt:lpstr>
      <vt:lpstr>NBE_PRETS_TRANCHE_200000_400000</vt:lpstr>
      <vt:lpstr>NBE_PRETS_TRANCHE_400000_600000</vt:lpstr>
      <vt:lpstr>NBE_PRETS_TRANCHE_600000_800000</vt:lpstr>
      <vt:lpstr>NBE_PRETS_TRANCHE_800000_1000000</vt:lpstr>
      <vt:lpstr>NBE_PRETS_TRANCHE_SUP_1000000</vt:lpstr>
      <vt:lpstr>PERMITTED_INSTRUMENTS</vt:lpstr>
      <vt:lpstr>PRETS_REMBOURSEMENT_CRD_0_1_AN</vt:lpstr>
      <vt:lpstr>PRETS_REMBOURSEMENT_CRD_0_1_AN_AVEC_REMB_ANTICIPE</vt:lpstr>
      <vt:lpstr>PRETS_REMBOURSEMENT_CRD_1_2_ANS</vt:lpstr>
      <vt:lpstr>PRETS_REMBOURSEMENT_CRD_1_2_ANS_AVEC_REMB_ANTICIPE</vt:lpstr>
      <vt:lpstr>PRETS_REMBOURSEMENT_CRD_2_3_ANS</vt:lpstr>
      <vt:lpstr>PRETS_REMBOURSEMENT_CRD_2_3_ANS_AVEC_REMB_ANTICIPE</vt:lpstr>
      <vt:lpstr>PRETS_REMBOURSEMENT_CRD_3_4_ANS</vt:lpstr>
      <vt:lpstr>PRETS_REMBOURSEMENT_CRD_3_4_ANS_AVEC_REMB_ANTICIPE</vt:lpstr>
      <vt:lpstr>PRETS_REMBOURSEMENT_CRD_4_5_ANS</vt:lpstr>
      <vt:lpstr>PRETS_REMBOURSEMENT_CRD_4_5_ANS_AVEC_REMB_ANTICIPE</vt:lpstr>
      <vt:lpstr>PRETS_REMBOURSEMENT_CRD_5_10_ANS</vt:lpstr>
      <vt:lpstr>PRETS_REMBOURSEMENT_CRD_5_10_ANS_AVEC_REMB_ANTICIPE</vt:lpstr>
      <vt:lpstr>PRETS_REMBOURSEMENT_CRD_APRES_10_ANS</vt:lpstr>
      <vt:lpstr>PRETS_REMBOURSEMENT_CRD_APRES_10_ANS_AVEC_REMB_ANTICIPE</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'D.Covered bonds'!Print_Area</vt:lpstr>
      <vt:lpstr>D.Overview!Print_Area</vt:lpstr>
      <vt:lpstr>D.Residential!Print_Area</vt:lpstr>
      <vt:lpstr>Disclaimer!Print_Area</vt:lpstr>
      <vt:lpstr>'E. Optional ECB-ECAIs data'!Print_Area</vt:lpstr>
      <vt:lpstr>'F1. Sustainable M data'!Print_Area</vt:lpstr>
      <vt:lpstr>FAQ!Print_Area</vt:lpstr>
      <vt:lpstr>'G1. Crisis M Payment Holidays'!Print_Area</vt:lpstr>
      <vt:lpstr>Introduction!Print_Area</vt:lpstr>
      <vt:lpstr>Disclaimer!Print_Titles</vt:lpstr>
      <vt:lpstr>FAQ!Print_Titles</vt:lpstr>
      <vt:lpstr>Disclaimer!privacy_policy</vt:lpstr>
      <vt:lpstr>REPORTING_DATE</vt:lpstr>
      <vt:lpstr>WAL_BONDS_CONTRACTUAL_YEARS</vt:lpstr>
      <vt:lpstr>WAL_BONDS_YEARS</vt:lpstr>
      <vt:lpstr>WAL_CONTRACTUAL_YEARS</vt:lpstr>
      <vt:lpstr>WAL_EXPECTED_YEARS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2024-02-28T16:51:25Z</cp:lastPrinted>
  <dcterms:created xsi:type="dcterms:W3CDTF">2016-04-21T08:07:20Z</dcterms:created>
  <dcterms:modified xsi:type="dcterms:W3CDTF">2024-02-28T17:20:53Z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28ddb2-606c-44c8-ad75-3f67db456df0_Enabled">
    <vt:lpwstr>true</vt:lpwstr>
  </property>
  <property fmtid="{D5CDD505-2E9C-101B-9397-08002B2CF9AE}" pid="3" name="MSIP_Label_ee28ddb2-606c-44c8-ad75-3f67db456df0_SetDate">
    <vt:lpwstr>2024-02-28T16:53:19Z</vt:lpwstr>
  </property>
  <property fmtid="{D5CDD505-2E9C-101B-9397-08002B2CF9AE}" pid="4" name="MSIP_Label_ee28ddb2-606c-44c8-ad75-3f67db456df0_Method">
    <vt:lpwstr>Privileged</vt:lpwstr>
  </property>
  <property fmtid="{D5CDD505-2E9C-101B-9397-08002B2CF9AE}" pid="5" name="MSIP_Label_ee28ddb2-606c-44c8-ad75-3f67db456df0_Name">
    <vt:lpwstr>CFRINTERN</vt:lpwstr>
  </property>
  <property fmtid="{D5CDD505-2E9C-101B-9397-08002B2CF9AE}" pid="6" name="MSIP_Label_ee28ddb2-606c-44c8-ad75-3f67db456df0_SiteId">
    <vt:lpwstr>e0fd434d-ba64-497b-90d2-859c472e1a92</vt:lpwstr>
  </property>
  <property fmtid="{D5CDD505-2E9C-101B-9397-08002B2CF9AE}" pid="7" name="MSIP_Label_ee28ddb2-606c-44c8-ad75-3f67db456df0_ActionId">
    <vt:lpwstr>11403903-58fa-478e-bd92-b32a0f60e638</vt:lpwstr>
  </property>
  <property fmtid="{D5CDD505-2E9C-101B-9397-08002B2CF9AE}" pid="8" name="MSIP_Label_ee28ddb2-606c-44c8-ad75-3f67db456df0_ContentBits">
    <vt:lpwstr>2</vt:lpwstr>
  </property>
</Properties>
</file>